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Research and Evaluation\purchase price calculator\"/>
    </mc:Choice>
  </mc:AlternateContent>
  <xr:revisionPtr revIDLastSave="0" documentId="10_ncr:100000_{E5C674CF-1000-4F32-A5D0-37155BE8D4B2}" xr6:coauthVersionLast="31" xr6:coauthVersionMax="31" xr10:uidLastSave="{00000000-0000-0000-0000-000000000000}"/>
  <bookViews>
    <workbookView showSheetTabs="0" xWindow="660" yWindow="45" windowWidth="19755" windowHeight="11745" tabRatio="681" xr2:uid="{00000000-000D-0000-FFFF-FFFF00000000}"/>
  </bookViews>
  <sheets>
    <sheet name="sheet1" sheetId="38" r:id="rId1"/>
  </sheets>
  <definedNames>
    <definedName name="_xlnm.Print_Area" localSheetId="0">sheet1!$A$1:$N$29</definedName>
  </definedNames>
  <calcPr calcId="179017"/>
</workbook>
</file>

<file path=xl/calcChain.xml><?xml version="1.0" encoding="utf-8"?>
<calcChain xmlns="http://schemas.openxmlformats.org/spreadsheetml/2006/main">
  <c r="I8" i="38" l="1"/>
  <c r="H8" i="38"/>
  <c r="G8" i="38"/>
  <c r="F8" i="38"/>
  <c r="I7" i="38"/>
  <c r="H7" i="38"/>
  <c r="G7" i="38"/>
  <c r="F7" i="38"/>
  <c r="I6" i="38"/>
  <c r="H6" i="38"/>
  <c r="G6" i="38"/>
  <c r="F6" i="38"/>
  <c r="I5" i="38"/>
  <c r="H5" i="38"/>
  <c r="G5" i="38"/>
  <c r="F5" i="38"/>
  <c r="I4" i="38"/>
  <c r="H4" i="38"/>
  <c r="G4" i="38"/>
  <c r="F4" i="38"/>
  <c r="I3" i="38"/>
  <c r="H3" i="38"/>
  <c r="G3" i="38"/>
  <c r="F3" i="38"/>
  <c r="B10" i="38"/>
  <c r="M5" i="38"/>
  <c r="M10" i="38"/>
  <c r="M12" i="38"/>
  <c r="J65501" i="38"/>
  <c r="K12" i="38"/>
  <c r="K7" i="38"/>
  <c r="K5" i="38"/>
  <c r="B5" i="38"/>
  <c r="B8" i="38"/>
  <c r="K9" i="38" s="1"/>
  <c r="B13" i="38"/>
  <c r="B15" i="38"/>
  <c r="B17" i="38" s="1"/>
  <c r="M4" i="38" l="1"/>
  <c r="M11" i="38" s="1"/>
  <c r="M13" i="38" s="1"/>
  <c r="M14" i="38" s="1"/>
  <c r="K4" i="38"/>
  <c r="K6" i="38"/>
  <c r="K8" i="38" s="1"/>
  <c r="K10" i="38" s="1"/>
  <c r="K11" i="38" l="1"/>
  <c r="K13" i="38" s="1"/>
  <c r="K14" i="38" s="1"/>
</calcChain>
</file>

<file path=xl/sharedStrings.xml><?xml version="1.0" encoding="utf-8"?>
<sst xmlns="http://schemas.openxmlformats.org/spreadsheetml/2006/main" count="105" uniqueCount="83">
  <si>
    <t>Mortgage Ins &gt;</t>
  </si>
  <si>
    <t>&gt;95%LTV</t>
  </si>
  <si>
    <t>MAX Principal &amp; Interest</t>
  </si>
  <si>
    <t>Calculated MAXIMUM Purchase Price</t>
  </si>
  <si>
    <t>Freddie Mac's Primary Mortgage Market Survey--30 yr Avg Rate</t>
  </si>
  <si>
    <r>
      <t>Max front end debt</t>
    </r>
    <r>
      <rPr>
        <sz val="8"/>
        <rFont val="Arial Narrow"/>
        <family val="2"/>
      </rPr>
      <t xml:space="preserve"> (= .3 of GMI)</t>
    </r>
  </si>
  <si>
    <r>
      <t>Taxes</t>
    </r>
    <r>
      <rPr>
        <sz val="8"/>
        <rFont val="Arial Narrow"/>
        <family val="2"/>
      </rPr>
      <t xml:space="preserve"> (at affordable assessment)</t>
    </r>
  </si>
  <si>
    <r>
      <t>Land Lease fee</t>
    </r>
    <r>
      <rPr>
        <sz val="8"/>
        <rFont val="Arial Narrow"/>
        <family val="2"/>
      </rPr>
      <t xml:space="preserve"> (if applicable)</t>
    </r>
  </si>
  <si>
    <r>
      <t>Private Mortgage Insurance</t>
    </r>
    <r>
      <rPr>
        <sz val="8"/>
        <rFont val="Arial Narrow"/>
        <family val="2"/>
      </rPr>
      <t xml:space="preserve"> (PMI)</t>
    </r>
  </si>
  <si>
    <r>
      <t>Gross monthly income</t>
    </r>
    <r>
      <rPr>
        <sz val="8"/>
        <rFont val="Arial Narrow"/>
        <family val="2"/>
      </rPr>
      <t xml:space="preserve"> (GMI--see chart on right)</t>
    </r>
  </si>
  <si>
    <t>Household size of &gt;</t>
  </si>
  <si>
    <t>Barrington</t>
  </si>
  <si>
    <t>Bristol</t>
  </si>
  <si>
    <t>Burrillville</t>
  </si>
  <si>
    <t>Central Falls</t>
  </si>
  <si>
    <t>Charlestown</t>
  </si>
  <si>
    <t>Coventry</t>
  </si>
  <si>
    <t>Cranston</t>
  </si>
  <si>
    <t>Cumberland</t>
  </si>
  <si>
    <t>East Greenwich</t>
  </si>
  <si>
    <t>East Providence</t>
  </si>
  <si>
    <t>Exeter</t>
  </si>
  <si>
    <t>Foster</t>
  </si>
  <si>
    <t>Glocester</t>
  </si>
  <si>
    <t>Hopkinton</t>
  </si>
  <si>
    <t>Jamestown</t>
  </si>
  <si>
    <t>Johnston</t>
  </si>
  <si>
    <t>Lincoln</t>
  </si>
  <si>
    <t>Little Compton</t>
  </si>
  <si>
    <t>Middletown</t>
  </si>
  <si>
    <t>Narragansett</t>
  </si>
  <si>
    <t>Newport</t>
  </si>
  <si>
    <t>New Shoreham</t>
  </si>
  <si>
    <t>North Providence</t>
  </si>
  <si>
    <t>North Smithfield</t>
  </si>
  <si>
    <t>Pawtucket</t>
  </si>
  <si>
    <t>Portsmouth</t>
  </si>
  <si>
    <t>Providence</t>
  </si>
  <si>
    <t>Richmond</t>
  </si>
  <si>
    <t>Scituate</t>
  </si>
  <si>
    <t>Smithfield</t>
  </si>
  <si>
    <t>South Kingstown</t>
  </si>
  <si>
    <t>Tiverton</t>
  </si>
  <si>
    <t>Warren</t>
  </si>
  <si>
    <t>Warwick</t>
  </si>
  <si>
    <t>Westerly</t>
  </si>
  <si>
    <t>West Greenwich</t>
  </si>
  <si>
    <t>West Warwick</t>
  </si>
  <si>
    <t>Woonsocket</t>
  </si>
  <si>
    <t>TAX RATE</t>
  </si>
  <si>
    <t>Newport, Portsmouth, Middletown</t>
  </si>
  <si>
    <t>North Kingstown</t>
  </si>
  <si>
    <t>Click on the cell above and select a municipality from the drop-down menu</t>
  </si>
  <si>
    <t>Hopkinton, Westerly, New Shoreham</t>
  </si>
  <si>
    <t>All other RI cities and towns (and Fall River, MA)</t>
  </si>
  <si>
    <t>TO CHANGE MUNICIPALITY, CLICK ON CELL A1, 'Barrington', CLICK DOWN ARROW THAT APPEARS NEXT TO CELL, ACCESS YOUR TOWN ON THE PULL DOWN MENU</t>
  </si>
  <si>
    <r>
      <t xml:space="preserve">Purchase Price with
</t>
    </r>
    <r>
      <rPr>
        <b/>
        <i/>
        <u/>
        <sz val="10"/>
        <rFont val="Arial Narrow"/>
        <family val="2"/>
      </rPr>
      <t>Deed-Restricted</t>
    </r>
    <r>
      <rPr>
        <b/>
        <i/>
        <sz val="10"/>
        <rFont val="Arial Narrow"/>
        <family val="2"/>
      </rPr>
      <t xml:space="preserve">
Tax Assessment</t>
    </r>
  </si>
  <si>
    <t>Please note that the household size used should include one more person than the number of bedrooms (e.g.: the purchase price for a two-bedroom home should be calculated using a three-person household median income), except in the case of age-restricted developments in which case a two-person household size should always be used to calculate the purchase price.</t>
  </si>
  <si>
    <t>NOTE: The cells with the BLUE background require manual input.</t>
  </si>
  <si>
    <t>Hazard</t>
  </si>
  <si>
    <t>OTHER NOTES:</t>
  </si>
  <si>
    <t>Max P&amp;I</t>
  </si>
  <si>
    <t>Homestead Ex</t>
  </si>
  <si>
    <t>Taxed Value</t>
  </si>
  <si>
    <t>Tax Rate</t>
  </si>
  <si>
    <t>Actual Mnthly Taxes</t>
  </si>
  <si>
    <t>Given Mnthly Taxes</t>
  </si>
  <si>
    <t>Tax Relief Mnthly</t>
  </si>
  <si>
    <t>New Max P &amp; I</t>
  </si>
  <si>
    <t>Interest Rate</t>
  </si>
  <si>
    <t>New Max Purchase Price</t>
  </si>
  <si>
    <t>Homestead %</t>
  </si>
  <si>
    <t>Applicable to: EP, Johnston, Lincoln, NP, West Greenwich, Woonsocket</t>
  </si>
  <si>
    <t>Homestead Flat</t>
  </si>
  <si>
    <t>Applicable to: Central Falls Only</t>
  </si>
  <si>
    <t>Use this feature?</t>
  </si>
  <si>
    <r>
      <t>Condo Fee</t>
    </r>
    <r>
      <rPr>
        <sz val="8"/>
        <rFont val="Arial Narrow"/>
        <family val="2"/>
      </rPr>
      <t xml:space="preserve"> (make sure it includes hazard insurance)</t>
    </r>
  </si>
  <si>
    <r>
      <t xml:space="preserve">Condo Content Insurance </t>
    </r>
    <r>
      <rPr>
        <sz val="8"/>
        <rFont val="Arial Narrow"/>
        <family val="2"/>
      </rPr>
      <t>($30 is the flat monthly insurance estimate)</t>
    </r>
  </si>
  <si>
    <t>Enter the interest rate as a decimal into the blank blue cell for 'Interest Rate'.  For example, if the current interest rate is 4.2%, enter 0.042 into the blue 'Interest Rate' cell above</t>
  </si>
  <si>
    <r>
      <t>Interest Rate</t>
    </r>
    <r>
      <rPr>
        <sz val="8"/>
        <rFont val="Arial Narrow"/>
        <family val="2"/>
      </rPr>
      <t xml:space="preserve"> (Enter Freddie Mac PMMS Rate - see note below)</t>
    </r>
  </si>
  <si>
    <t>The Interest Rate is the current rate as measured in the Freddie Mac Primary Mortgage Market Survey, which is updated every Thursday morning and will be shown on the Rhode Island Housing Purchase Price Calculator sub-page: https://www.rhodeislandhousing.org/sp.cfm?pageid=571</t>
  </si>
  <si>
    <t>Gross Annual Incomes based on HUD 2019 income limits (for input cell B4).</t>
  </si>
  <si>
    <t>Gross Monthly Incomes based on HUD 2019 income limits (for input cell 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</si>
</sst>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 numFmtId="167" formatCode="0.0000"/>
  </numFmts>
  <fonts count="20" x14ac:knownFonts="1">
    <font>
      <sz val="10"/>
      <name val="Arial"/>
    </font>
    <font>
      <sz val="10"/>
      <name val="Arial"/>
      <family val="2"/>
    </font>
    <font>
      <sz val="8"/>
      <name val="Arial"/>
      <family val="2"/>
    </font>
    <font>
      <u/>
      <sz val="10"/>
      <color indexed="12"/>
      <name val="Arial"/>
      <family val="2"/>
    </font>
    <font>
      <b/>
      <sz val="10"/>
      <name val="Arial Narrow"/>
      <family val="2"/>
    </font>
    <font>
      <b/>
      <i/>
      <sz val="10"/>
      <name val="Arial Narrow"/>
      <family val="2"/>
    </font>
    <font>
      <sz val="10"/>
      <name val="Arial Narrow"/>
      <family val="2"/>
    </font>
    <font>
      <b/>
      <sz val="8"/>
      <name val="Arial Narrow"/>
      <family val="2"/>
    </font>
    <font>
      <sz val="8"/>
      <name val="Arial Narrow"/>
      <family val="2"/>
    </font>
    <font>
      <i/>
      <sz val="8"/>
      <name val="Arial Narrow"/>
      <family val="2"/>
    </font>
    <font>
      <u/>
      <sz val="10"/>
      <color indexed="12"/>
      <name val="Arial Narrow"/>
      <family val="2"/>
    </font>
    <font>
      <b/>
      <i/>
      <u/>
      <sz val="10"/>
      <name val="Arial Narrow"/>
      <family val="2"/>
    </font>
    <font>
      <b/>
      <u/>
      <sz val="20"/>
      <name val="Tahoma"/>
      <family val="2"/>
    </font>
    <font>
      <sz val="10"/>
      <name val="Tahoma"/>
      <family val="2"/>
    </font>
    <font>
      <b/>
      <sz val="10"/>
      <name val="Tahoma"/>
      <family val="2"/>
    </font>
    <font>
      <sz val="10"/>
      <name val="Arial"/>
      <family val="2"/>
    </font>
    <font>
      <sz val="10"/>
      <name val="Arial"/>
      <family val="2"/>
    </font>
    <font>
      <sz val="10"/>
      <color indexed="40"/>
      <name val="Arial Narrow"/>
      <family val="2"/>
    </font>
    <font>
      <sz val="10"/>
      <name val="Arial"/>
      <family val="2"/>
    </font>
    <font>
      <i/>
      <sz val="10"/>
      <name val="Arial Narrow"/>
      <family val="2"/>
    </font>
  </fonts>
  <fills count="9">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5" fillId="0" borderId="0"/>
    <xf numFmtId="0" fontId="1" fillId="0" borderId="0"/>
    <xf numFmtId="9" fontId="18"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6" fillId="0" borderId="0" xfId="0" applyFont="1"/>
    <xf numFmtId="0" fontId="4" fillId="0" borderId="0" xfId="0" applyFont="1" applyFill="1" applyBorder="1" applyAlignment="1">
      <alignment horizontal="center"/>
    </xf>
    <xf numFmtId="164" fontId="6" fillId="0" borderId="0" xfId="0" applyNumberFormat="1" applyFont="1" applyFill="1" applyBorder="1" applyAlignment="1">
      <alignment horizontal="center"/>
    </xf>
    <xf numFmtId="164" fontId="6" fillId="0" borderId="1" xfId="1" applyNumberFormat="1" applyFont="1" applyBorder="1" applyAlignment="1">
      <alignment horizontal="center"/>
    </xf>
    <xf numFmtId="0" fontId="9" fillId="0" borderId="0" xfId="0" applyFont="1"/>
    <xf numFmtId="0" fontId="6" fillId="0" borderId="0" xfId="0" applyFont="1" applyFill="1" applyBorder="1"/>
    <xf numFmtId="0" fontId="6" fillId="0" borderId="0" xfId="0" applyFont="1" applyFill="1"/>
    <xf numFmtId="164" fontId="6" fillId="0" borderId="2" xfId="1" applyNumberFormat="1" applyFont="1" applyFill="1" applyBorder="1" applyAlignment="1">
      <alignment horizontal="center"/>
    </xf>
    <xf numFmtId="0" fontId="6" fillId="0" borderId="0" xfId="0" applyFont="1" applyAlignment="1">
      <alignment horizontal="center"/>
    </xf>
    <xf numFmtId="164" fontId="4" fillId="0" borderId="1" xfId="1" applyNumberFormat="1" applyFont="1" applyFill="1" applyBorder="1" applyAlignment="1">
      <alignment horizontal="center"/>
    </xf>
    <xf numFmtId="0" fontId="4" fillId="0" borderId="0" xfId="0" applyFont="1" applyFill="1"/>
    <xf numFmtId="0" fontId="4" fillId="0" borderId="0" xfId="0" applyFont="1" applyFill="1" applyBorder="1"/>
    <xf numFmtId="3" fontId="6" fillId="0" borderId="0" xfId="0" applyNumberFormat="1" applyFont="1" applyFill="1" applyBorder="1" applyAlignment="1">
      <alignment horizontal="center"/>
    </xf>
    <xf numFmtId="0" fontId="6" fillId="0" borderId="0" xfId="0" applyFont="1" applyBorder="1" applyAlignment="1">
      <alignment horizontal="center"/>
    </xf>
    <xf numFmtId="0" fontId="9" fillId="0" borderId="0" xfId="0" applyFont="1" applyFill="1" applyBorder="1"/>
    <xf numFmtId="3" fontId="6" fillId="0" borderId="0" xfId="0" applyNumberFormat="1" applyFont="1" applyBorder="1" applyAlignment="1">
      <alignment horizontal="center"/>
    </xf>
    <xf numFmtId="0" fontId="6" fillId="0" borderId="0" xfId="0" applyFont="1" applyFill="1" applyBorder="1" applyAlignment="1">
      <alignment horizontal="center"/>
    </xf>
    <xf numFmtId="0" fontId="8" fillId="0" borderId="0" xfId="0" applyFont="1" applyFill="1" applyBorder="1"/>
    <xf numFmtId="1" fontId="6" fillId="0" borderId="0" xfId="0" applyNumberFormat="1"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67" fontId="6" fillId="0" borderId="5" xfId="0" applyNumberFormat="1" applyFont="1" applyBorder="1" applyAlignment="1">
      <alignment horizontal="center"/>
    </xf>
    <xf numFmtId="164" fontId="6" fillId="2" borderId="1" xfId="0" applyNumberFormat="1" applyFont="1" applyFill="1" applyBorder="1" applyAlignment="1" applyProtection="1">
      <alignment horizontal="center"/>
      <protection locked="0"/>
    </xf>
    <xf numFmtId="0" fontId="13" fillId="0" borderId="0" xfId="0" applyFont="1"/>
    <xf numFmtId="0" fontId="13" fillId="0" borderId="0" xfId="0" applyFont="1" applyAlignment="1">
      <alignment horizontal="center"/>
    </xf>
    <xf numFmtId="0" fontId="13" fillId="0" borderId="0" xfId="0" applyFont="1" applyFill="1"/>
    <xf numFmtId="164" fontId="6" fillId="0" borderId="1" xfId="0" applyNumberFormat="1" applyFont="1" applyFill="1" applyBorder="1" applyAlignment="1">
      <alignment horizontal="center"/>
    </xf>
    <xf numFmtId="0" fontId="8" fillId="0" borderId="6" xfId="0" applyFont="1" applyBorder="1" applyAlignment="1">
      <alignment horizontal="center" wrapText="1"/>
    </xf>
    <xf numFmtId="5" fontId="6" fillId="2" borderId="1" xfId="1" applyNumberFormat="1" applyFont="1" applyFill="1" applyBorder="1" applyAlignment="1" applyProtection="1">
      <alignment horizontal="center"/>
      <protection locked="0"/>
    </xf>
    <xf numFmtId="164" fontId="6" fillId="2" borderId="1" xfId="1" applyNumberFormat="1" applyFont="1" applyFill="1" applyBorder="1" applyAlignment="1" applyProtection="1">
      <alignment horizontal="center"/>
      <protection locked="0"/>
    </xf>
    <xf numFmtId="0" fontId="4" fillId="3" borderId="2" xfId="0" applyFont="1" applyFill="1" applyBorder="1" applyAlignment="1">
      <alignment horizontal="left" vertical="center" wrapText="1" indent="2"/>
    </xf>
    <xf numFmtId="0" fontId="7" fillId="0" borderId="7" xfId="0" applyFont="1" applyBorder="1" applyAlignment="1">
      <alignment horizontal="left" indent="2"/>
    </xf>
    <xf numFmtId="0" fontId="7" fillId="0" borderId="7" xfId="0" applyFont="1" applyBorder="1" applyAlignment="1">
      <alignment horizontal="left" wrapText="1" indent="2"/>
    </xf>
    <xf numFmtId="0" fontId="8" fillId="0" borderId="7" xfId="0" applyFont="1" applyBorder="1" applyAlignment="1">
      <alignment horizontal="left" wrapText="1" indent="2"/>
    </xf>
    <xf numFmtId="0" fontId="7" fillId="0" borderId="1" xfId="0" applyFont="1" applyBorder="1" applyAlignment="1">
      <alignment horizontal="left" indent="2"/>
    </xf>
    <xf numFmtId="0" fontId="8" fillId="0" borderId="7" xfId="0" applyFont="1" applyFill="1" applyBorder="1" applyAlignment="1">
      <alignment horizontal="left" indent="2"/>
    </xf>
    <xf numFmtId="0" fontId="7" fillId="0" borderId="1" xfId="0" applyFont="1" applyFill="1" applyBorder="1" applyAlignment="1">
      <alignment horizontal="left" indent="2"/>
    </xf>
    <xf numFmtId="0" fontId="8" fillId="0" borderId="0" xfId="0" applyFont="1" applyFill="1" applyBorder="1" applyAlignment="1">
      <alignment horizontal="left" indent="2"/>
    </xf>
    <xf numFmtId="0" fontId="4" fillId="0" borderId="0" xfId="0" applyFont="1" applyFill="1" applyBorder="1" applyAlignment="1">
      <alignment horizontal="left" indent="2"/>
    </xf>
    <xf numFmtId="0" fontId="6" fillId="0" borderId="0" xfId="0" applyFont="1" applyFill="1" applyBorder="1" applyAlignment="1">
      <alignment horizontal="left" indent="2"/>
    </xf>
    <xf numFmtId="0" fontId="8" fillId="0" borderId="0" xfId="0" applyFont="1" applyBorder="1" applyAlignment="1">
      <alignment horizontal="left" indent="2"/>
    </xf>
    <xf numFmtId="0" fontId="8" fillId="0" borderId="0" xfId="0" applyFont="1" applyBorder="1" applyAlignment="1">
      <alignment horizontal="left" wrapText="1" indent="2"/>
    </xf>
    <xf numFmtId="0" fontId="8" fillId="0" borderId="0" xfId="0" applyFont="1" applyFill="1" applyBorder="1" applyAlignment="1">
      <alignment horizontal="left" wrapText="1" indent="2"/>
    </xf>
    <xf numFmtId="0" fontId="13" fillId="0" borderId="0" xfId="0" applyFont="1" applyAlignment="1">
      <alignment horizontal="left" indent="2"/>
    </xf>
    <xf numFmtId="0" fontId="13" fillId="0" borderId="0" xfId="0" applyFont="1" applyFill="1" applyAlignment="1">
      <alignment horizontal="left" indent="2"/>
    </xf>
    <xf numFmtId="0" fontId="14" fillId="0" borderId="0" xfId="0" applyFont="1" applyAlignment="1">
      <alignment horizontal="left" indent="2"/>
    </xf>
    <xf numFmtId="0" fontId="14" fillId="0" borderId="0" xfId="0" applyFont="1" applyFill="1" applyAlignment="1">
      <alignment horizontal="left" indent="2"/>
    </xf>
    <xf numFmtId="0" fontId="6" fillId="0" borderId="0" xfId="0" applyFont="1" applyAlignment="1">
      <alignment horizontal="left" indent="2"/>
    </xf>
    <xf numFmtId="0" fontId="17" fillId="0" borderId="0" xfId="0" applyFont="1" applyAlignment="1">
      <alignment horizontal="left" indent="2"/>
    </xf>
    <xf numFmtId="0" fontId="7" fillId="4" borderId="1" xfId="0" applyFont="1" applyFill="1" applyBorder="1" applyAlignment="1">
      <alignment horizontal="left" indent="2"/>
    </xf>
    <xf numFmtId="164" fontId="6" fillId="4" borderId="1" xfId="0" applyNumberFormat="1" applyFont="1" applyFill="1" applyBorder="1" applyAlignment="1">
      <alignment horizontal="center"/>
    </xf>
    <xf numFmtId="165" fontId="6" fillId="0" borderId="0" xfId="0" applyNumberFormat="1" applyFont="1" applyAlignment="1">
      <alignment horizontal="center"/>
    </xf>
    <xf numFmtId="0" fontId="6" fillId="0" borderId="0" xfId="0" applyFont="1" applyAlignment="1">
      <alignment horizontal="left" indent="1"/>
    </xf>
    <xf numFmtId="164" fontId="4" fillId="0" borderId="8" xfId="0" applyNumberFormat="1" applyFont="1" applyFill="1" applyBorder="1" applyAlignment="1">
      <alignment horizontal="center"/>
    </xf>
    <xf numFmtId="0" fontId="6" fillId="0" borderId="9" xfId="0" applyFont="1" applyBorder="1"/>
    <xf numFmtId="9" fontId="6" fillId="0" borderId="8" xfId="9" applyFont="1" applyBorder="1" applyAlignment="1">
      <alignment horizontal="center"/>
    </xf>
    <xf numFmtId="165" fontId="4" fillId="0" borderId="8" xfId="0" applyNumberFormat="1" applyFont="1" applyFill="1" applyBorder="1" applyAlignment="1">
      <alignment horizontal="center"/>
    </xf>
    <xf numFmtId="10" fontId="6" fillId="0" borderId="8" xfId="9" applyNumberFormat="1" applyFont="1" applyBorder="1" applyAlignment="1">
      <alignment horizontal="center"/>
    </xf>
    <xf numFmtId="165" fontId="6" fillId="0" borderId="8" xfId="0" applyNumberFormat="1" applyFont="1" applyBorder="1"/>
    <xf numFmtId="10" fontId="6" fillId="0" borderId="8" xfId="0" applyNumberFormat="1" applyFont="1" applyBorder="1"/>
    <xf numFmtId="164" fontId="4" fillId="0" borderId="8" xfId="1" applyNumberFormat="1" applyFont="1" applyFill="1" applyBorder="1" applyAlignment="1">
      <alignment horizontal="center"/>
    </xf>
    <xf numFmtId="0" fontId="6" fillId="0" borderId="9" xfId="0" applyFont="1" applyFill="1" applyBorder="1"/>
    <xf numFmtId="0" fontId="6" fillId="0" borderId="10" xfId="0" applyFont="1" applyFill="1" applyBorder="1"/>
    <xf numFmtId="0" fontId="6" fillId="0" borderId="11" xfId="0" applyFont="1" applyFill="1" applyBorder="1"/>
    <xf numFmtId="4" fontId="6" fillId="0" borderId="8" xfId="9" applyNumberFormat="1" applyFont="1" applyBorder="1" applyAlignment="1">
      <alignment horizontal="center"/>
    </xf>
    <xf numFmtId="165" fontId="4" fillId="6" borderId="8" xfId="0" applyNumberFormat="1" applyFont="1" applyFill="1" applyBorder="1" applyAlignment="1">
      <alignment horizontal="center"/>
    </xf>
    <xf numFmtId="10" fontId="6" fillId="6" borderId="8" xfId="9" applyNumberFormat="1" applyFont="1" applyFill="1" applyBorder="1" applyAlignment="1">
      <alignment horizontal="center"/>
    </xf>
    <xf numFmtId="165" fontId="6" fillId="6" borderId="8" xfId="0" applyNumberFormat="1" applyFont="1" applyFill="1" applyBorder="1"/>
    <xf numFmtId="164" fontId="6" fillId="6" borderId="8" xfId="0" applyNumberFormat="1" applyFont="1" applyFill="1" applyBorder="1"/>
    <xf numFmtId="0" fontId="6" fillId="0" borderId="0" xfId="0" applyNumberFormat="1" applyFont="1" applyFill="1" applyBorder="1" applyAlignment="1">
      <alignment horizontal="center"/>
    </xf>
    <xf numFmtId="0" fontId="7" fillId="0" borderId="1" xfId="0" applyFont="1" applyBorder="1" applyAlignment="1">
      <alignment horizontal="left" vertical="center" indent="2"/>
    </xf>
    <xf numFmtId="0" fontId="5" fillId="0" borderId="0" xfId="0" applyFont="1" applyFill="1" applyBorder="1" applyAlignment="1" applyProtection="1">
      <alignment wrapText="1"/>
    </xf>
    <xf numFmtId="164" fontId="6" fillId="0" borderId="0" xfId="0" applyNumberFormat="1" applyFont="1" applyFill="1" applyBorder="1" applyAlignment="1" applyProtection="1"/>
    <xf numFmtId="0" fontId="8" fillId="0" borderId="0" xfId="0" applyFont="1" applyFill="1" applyBorder="1" applyAlignment="1" applyProtection="1">
      <alignment wrapText="1"/>
    </xf>
    <xf numFmtId="164" fontId="6" fillId="0" borderId="0" xfId="0" applyNumberFormat="1" applyFont="1" applyFill="1" applyBorder="1" applyAlignment="1" applyProtection="1">
      <alignment horizontal="center"/>
    </xf>
    <xf numFmtId="3" fontId="6" fillId="0" borderId="0" xfId="0" applyNumberFormat="1" applyFont="1" applyFill="1" applyBorder="1" applyAlignment="1" applyProtection="1">
      <alignment horizontal="center"/>
    </xf>
    <xf numFmtId="5" fontId="6" fillId="0" borderId="0" xfId="1" applyNumberFormat="1" applyFont="1" applyFill="1" applyBorder="1" applyAlignment="1" applyProtection="1">
      <alignment horizontal="center"/>
    </xf>
    <xf numFmtId="5" fontId="6" fillId="0" borderId="0" xfId="1" applyNumberFormat="1" applyFont="1" applyFill="1" applyBorder="1" applyAlignment="1" applyProtection="1"/>
    <xf numFmtId="164" fontId="6" fillId="0" borderId="0" xfId="1" applyNumberFormat="1" applyFont="1" applyFill="1" applyBorder="1" applyAlignment="1" applyProtection="1"/>
    <xf numFmtId="164" fontId="6" fillId="0" borderId="0" xfId="1" applyNumberFormat="1" applyFont="1" applyFill="1" applyBorder="1" applyAlignment="1" applyProtection="1">
      <alignment horizontal="center"/>
    </xf>
    <xf numFmtId="0" fontId="8" fillId="0" borderId="0" xfId="0" applyFont="1" applyFill="1" applyBorder="1" applyAlignment="1" applyProtection="1"/>
    <xf numFmtId="10" fontId="6" fillId="0" borderId="0" xfId="0" applyNumberFormat="1" applyFont="1" applyFill="1" applyBorder="1" applyAlignment="1" applyProtection="1"/>
    <xf numFmtId="164" fontId="4" fillId="0" borderId="0" xfId="1" applyNumberFormat="1" applyFont="1" applyFill="1" applyBorder="1" applyAlignment="1" applyProtection="1">
      <alignment horizontal="center"/>
    </xf>
    <xf numFmtId="6" fontId="6" fillId="0" borderId="1" xfId="0" applyNumberFormat="1" applyFont="1" applyFill="1" applyBorder="1" applyAlignment="1" applyProtection="1">
      <alignment horizontal="center"/>
    </xf>
    <xf numFmtId="0" fontId="7" fillId="7" borderId="1" xfId="0" applyFont="1" applyFill="1" applyBorder="1" applyAlignment="1">
      <alignment horizontal="left" vertical="center" indent="2"/>
    </xf>
    <xf numFmtId="164" fontId="6" fillId="7" borderId="1" xfId="1" applyNumberFormat="1" applyFont="1" applyFill="1" applyBorder="1" applyAlignment="1">
      <alignment horizontal="center"/>
    </xf>
    <xf numFmtId="10" fontId="6" fillId="8" borderId="1" xfId="0" applyNumberFormat="1" applyFont="1" applyFill="1" applyBorder="1" applyAlignment="1" applyProtection="1">
      <alignment horizontal="center"/>
      <protection locked="0"/>
    </xf>
    <xf numFmtId="0" fontId="4" fillId="0" borderId="0" xfId="0" applyFont="1" applyFill="1" applyBorder="1" applyAlignment="1">
      <alignment wrapText="1"/>
    </xf>
    <xf numFmtId="9" fontId="4" fillId="0" borderId="12" xfId="0" applyNumberFormat="1" applyFont="1" applyBorder="1" applyAlignment="1">
      <alignment horizontal="center"/>
    </xf>
    <xf numFmtId="164" fontId="5" fillId="0" borderId="13" xfId="0" applyNumberFormat="1" applyFont="1" applyBorder="1" applyAlignment="1">
      <alignment horizontal="center"/>
    </xf>
    <xf numFmtId="0" fontId="4" fillId="0" borderId="13" xfId="0" applyFont="1" applyBorder="1" applyAlignment="1">
      <alignment horizontal="center"/>
    </xf>
    <xf numFmtId="164" fontId="6" fillId="0" borderId="1" xfId="1" applyNumberFormat="1" applyFont="1" applyFill="1" applyBorder="1" applyAlignment="1">
      <alignment horizontal="center"/>
    </xf>
    <xf numFmtId="164" fontId="6" fillId="5" borderId="14" xfId="0" applyNumberFormat="1" applyFont="1" applyFill="1" applyBorder="1" applyAlignment="1">
      <alignment horizontal="center" wrapText="1"/>
    </xf>
    <xf numFmtId="9" fontId="4" fillId="0" borderId="15" xfId="0" applyNumberFormat="1" applyFont="1" applyBorder="1" applyAlignment="1">
      <alignment horizontal="center"/>
    </xf>
    <xf numFmtId="164" fontId="6" fillId="0" borderId="1" xfId="3" applyNumberFormat="1" applyFont="1" applyBorder="1" applyAlignment="1">
      <alignment horizontal="center" wrapText="1"/>
    </xf>
    <xf numFmtId="164" fontId="6" fillId="5" borderId="16" xfId="3" applyNumberFormat="1" applyFont="1" applyFill="1" applyBorder="1" applyAlignment="1">
      <alignment horizontal="center" wrapText="1"/>
    </xf>
    <xf numFmtId="164" fontId="6" fillId="0" borderId="2" xfId="3" applyNumberFormat="1" applyFont="1" applyFill="1" applyBorder="1" applyAlignment="1">
      <alignment horizontal="center"/>
    </xf>
    <xf numFmtId="164" fontId="6" fillId="0" borderId="2" xfId="3" applyNumberFormat="1" applyFont="1" applyFill="1" applyBorder="1" applyAlignment="1">
      <alignment horizontal="center" wrapText="1"/>
    </xf>
    <xf numFmtId="164" fontId="6" fillId="5" borderId="1" xfId="3" applyNumberFormat="1" applyFont="1" applyFill="1" applyBorder="1" applyAlignment="1">
      <alignment horizontal="center" wrapText="1"/>
    </xf>
    <xf numFmtId="0" fontId="4" fillId="0" borderId="17" xfId="0" applyFont="1" applyBorder="1" applyAlignment="1">
      <alignment horizontal="center"/>
    </xf>
    <xf numFmtId="164" fontId="6" fillId="0" borderId="1" xfId="0" applyNumberFormat="1" applyFont="1" applyBorder="1" applyAlignment="1">
      <alignment horizontal="center"/>
    </xf>
    <xf numFmtId="164" fontId="6" fillId="5" borderId="18" xfId="0" applyNumberFormat="1" applyFont="1" applyFill="1" applyBorder="1" applyAlignment="1">
      <alignment horizontal="center" wrapText="1"/>
    </xf>
    <xf numFmtId="164" fontId="6" fillId="5" borderId="1" xfId="0" applyNumberFormat="1" applyFont="1" applyFill="1" applyBorder="1" applyAlignment="1">
      <alignment horizontal="center" wrapText="1"/>
    </xf>
    <xf numFmtId="164" fontId="6" fillId="0" borderId="1" xfId="1" applyNumberFormat="1" applyFont="1" applyBorder="1" applyAlignment="1">
      <alignment horizontal="center" vertical="top" wrapText="1"/>
    </xf>
    <xf numFmtId="0" fontId="5" fillId="3" borderId="15" xfId="0" applyFont="1" applyFill="1" applyBorder="1" applyAlignment="1"/>
    <xf numFmtId="0" fontId="5" fillId="3" borderId="19" xfId="0" applyFont="1" applyFill="1" applyBorder="1" applyAlignment="1"/>
    <xf numFmtId="0" fontId="5" fillId="3" borderId="20" xfId="0" applyFont="1" applyFill="1" applyBorder="1" applyAlignment="1"/>
    <xf numFmtId="164" fontId="6" fillId="0" borderId="0" xfId="0" applyNumberFormat="1" applyFont="1" applyAlignment="1">
      <alignment horizontal="center"/>
    </xf>
    <xf numFmtId="164" fontId="6" fillId="0" borderId="12" xfId="0" applyNumberFormat="1" applyFont="1" applyFill="1" applyBorder="1" applyAlignment="1">
      <alignment horizontal="center"/>
    </xf>
    <xf numFmtId="0" fontId="13" fillId="0" borderId="0" xfId="0" applyFont="1" applyAlignment="1">
      <alignment horizontal="right"/>
    </xf>
    <xf numFmtId="166" fontId="10" fillId="0" borderId="15" xfId="6" applyNumberFormat="1" applyFont="1" applyFill="1" applyBorder="1" applyAlignment="1" applyProtection="1">
      <alignment horizontal="center"/>
    </xf>
    <xf numFmtId="166" fontId="10" fillId="0" borderId="19" xfId="6" applyNumberFormat="1" applyFont="1" applyFill="1" applyBorder="1" applyAlignment="1" applyProtection="1">
      <alignment horizontal="center"/>
    </xf>
    <xf numFmtId="166" fontId="10" fillId="0" borderId="20" xfId="6" applyNumberFormat="1" applyFont="1" applyFill="1" applyBorder="1" applyAlignment="1" applyProtection="1">
      <alignment horizontal="center"/>
    </xf>
    <xf numFmtId="0" fontId="6" fillId="0" borderId="0" xfId="0" applyFont="1" applyFill="1" applyBorder="1" applyAlignment="1">
      <alignment horizontal="left" wrapText="1" indent="2"/>
    </xf>
    <xf numFmtId="0" fontId="5" fillId="3" borderId="15"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2" fillId="2" borderId="25"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 xfId="0" applyFont="1" applyBorder="1" applyAlignment="1">
      <alignment horizontal="center" wrapText="1"/>
    </xf>
    <xf numFmtId="0" fontId="19" fillId="0" borderId="23" xfId="0" applyFont="1" applyFill="1" applyBorder="1" applyAlignment="1">
      <alignment horizontal="center" wrapText="1"/>
    </xf>
    <xf numFmtId="0" fontId="19" fillId="0" borderId="24" xfId="0" applyFont="1" applyFill="1" applyBorder="1" applyAlignment="1">
      <alignment horizontal="center" wrapText="1"/>
    </xf>
  </cellXfs>
  <cellStyles count="11">
    <cellStyle name="Currency" xfId="1" builtinId="4"/>
    <cellStyle name="Currency 2" xfId="2" xr:uid="{00000000-0005-0000-0000-000001000000}"/>
    <cellStyle name="Currency 2 2" xfId="3" xr:uid="{00000000-0005-0000-0000-000002000000}"/>
    <cellStyle name="Currency 3" xfId="4" xr:uid="{00000000-0005-0000-0000-000003000000}"/>
    <cellStyle name="Currency 3 2" xfId="5" xr:uid="{00000000-0005-0000-0000-000004000000}"/>
    <cellStyle name="Hyperlink" xfId="6" builtinId="8"/>
    <cellStyle name="Normal" xfId="0" builtinId="0"/>
    <cellStyle name="Normal 2" xfId="7" xr:uid="{00000000-0005-0000-0000-000007000000}"/>
    <cellStyle name="Normal 2 2" xfId="8" xr:uid="{00000000-0005-0000-0000-000008000000}"/>
    <cellStyle name="Percent" xfId="9" builtinId="5"/>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reddiemac.com/" TargetMode="External"/><Relationship Id="rId1" Type="http://schemas.openxmlformats.org/officeDocument/2006/relationships/hyperlink" Target="http://www.freddiema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N65536"/>
  <sheetViews>
    <sheetView showGridLines="0" tabSelected="1" zoomScale="120" zoomScaleNormal="120" workbookViewId="0">
      <selection sqref="A1:A2"/>
    </sheetView>
  </sheetViews>
  <sheetFormatPr defaultRowHeight="12.75" x14ac:dyDescent="0.2"/>
  <cols>
    <col min="1" max="1" width="53.28515625" style="48" customWidth="1"/>
    <col min="2" max="2" width="16.28515625" style="9" customWidth="1"/>
    <col min="3" max="3" width="9.140625" style="9" customWidth="1"/>
    <col min="4" max="4" width="8.5703125" style="1" customWidth="1"/>
    <col min="5" max="5" width="18" style="1" customWidth="1"/>
    <col min="6" max="6" width="13.5703125" style="1" bestFit="1" customWidth="1"/>
    <col min="7" max="8" width="8.7109375" style="1" customWidth="1"/>
    <col min="9" max="9" width="9.5703125" style="1" customWidth="1"/>
    <col min="10" max="10" width="8.7109375" style="1" customWidth="1"/>
    <col min="11" max="11" width="10.85546875" style="1" customWidth="1"/>
    <col min="12" max="12" width="19" style="1" bestFit="1" customWidth="1"/>
    <col min="13" max="13" width="10.85546875" style="1" customWidth="1"/>
    <col min="14" max="14" width="19" style="1" bestFit="1" customWidth="1"/>
    <col min="15" max="16384" width="9.140625" style="1"/>
  </cols>
  <sheetData>
    <row r="1" spans="1:14" ht="25.5" customHeight="1" thickBot="1" x14ac:dyDescent="0.25">
      <c r="A1" s="122" t="s">
        <v>11</v>
      </c>
      <c r="B1" s="124" t="s">
        <v>56</v>
      </c>
      <c r="C1" s="72"/>
      <c r="E1" s="115" t="s">
        <v>82</v>
      </c>
      <c r="F1" s="116"/>
      <c r="G1" s="116"/>
      <c r="H1" s="116"/>
      <c r="I1" s="117"/>
    </row>
    <row r="2" spans="1:14" ht="13.5" customHeight="1" thickBot="1" x14ac:dyDescent="0.25">
      <c r="A2" s="123"/>
      <c r="B2" s="125"/>
      <c r="C2" s="72"/>
      <c r="E2" s="90" t="s">
        <v>10</v>
      </c>
      <c r="F2" s="91">
        <v>1</v>
      </c>
      <c r="G2" s="91">
        <v>2</v>
      </c>
      <c r="H2" s="91">
        <v>3</v>
      </c>
      <c r="I2" s="91">
        <v>4</v>
      </c>
      <c r="K2" s="118" t="s">
        <v>71</v>
      </c>
      <c r="L2" s="119"/>
      <c r="M2" s="118" t="s">
        <v>73</v>
      </c>
      <c r="N2" s="119"/>
    </row>
    <row r="3" spans="1:14" ht="26.25" thickBot="1" x14ac:dyDescent="0.25">
      <c r="A3" s="31" t="s">
        <v>52</v>
      </c>
      <c r="B3" s="126"/>
      <c r="C3" s="72"/>
      <c r="E3" s="89">
        <v>0.6</v>
      </c>
      <c r="F3" s="109">
        <f>INDEX(IF($A$1="new shoreham",$F$65531:$I$65536,IF(OR($A$1="newport",$A$1="portsmouth",$A$1="middletown"),$F$65521:$I$65526,IF(OR($A$1="hopkinton",$A$1="westerly"),$F$65511:$I$65516,$F$65501:$I$65506))),1,1)/12</f>
        <v>2866.6666666666665</v>
      </c>
      <c r="G3" s="109">
        <f>INDEX(IF($A$1="new shoreham",$F$65531:$I$65536,IF(OR($A$1="newport",$A$1="portsmouth",$A$1="middletown"),$F$65521:$I$65526,IF(OR($A$1="hopkinton",$A$1="westerly"),$F$65511:$I$65516,$F$65501:$I$65506))),1,2)/12</f>
        <v>3275</v>
      </c>
      <c r="H3" s="109">
        <f>INDEX(IF($A$1="new shoreham",$F$65531:$I$65536,IF(OR($A$1="newport",$A$1="portsmouth",$A$1="middletown"),$F$65521:$I$65526,IF(OR($A$1="hopkinton",$A$1="westerly"),$F$65511:$I$65516,$F$65501:$I$65506))),1,3)/12</f>
        <v>3687.5</v>
      </c>
      <c r="I3" s="109">
        <f>INDEX(IF($A$1="new shoreham",$F$65531:$I$65536,IF(OR($A$1="newport",$A$1="portsmouth",$A$1="middletown"),$F$65521:$I$65526,IF(OR($A$1="hopkinton",$A$1="westerly"),$F$65511:$I$65516,$F$65501:$I$65506))),1,4)/12</f>
        <v>4095.8333333333335</v>
      </c>
      <c r="K3" s="127" t="s">
        <v>72</v>
      </c>
      <c r="L3" s="128"/>
      <c r="M3" s="120" t="s">
        <v>74</v>
      </c>
      <c r="N3" s="121"/>
    </row>
    <row r="4" spans="1:14" ht="14.25" thickBot="1" x14ac:dyDescent="0.3">
      <c r="A4" s="32" t="s">
        <v>9</v>
      </c>
      <c r="B4" s="23">
        <v>0</v>
      </c>
      <c r="C4" s="73"/>
      <c r="E4" s="89">
        <v>0.7</v>
      </c>
      <c r="F4" s="109">
        <f>INDEX(IF($A$1="new shoreham",$F$65531:$I$65536,IF(OR($A$1="newport",$A$1="portsmouth",$A$1="middletown"),$F$65521:$I$65526,IF(OR($A$1="hopkinton",$A$1="westerly"),$F$65511:$I$65516,$F$65501:$I$65506))),2,1)/12</f>
        <v>3345.8333333333335</v>
      </c>
      <c r="G4" s="109">
        <f>INDEX(IF($A$1="new shoreham",$F$65531:$I$65536,IF(OR($A$1="newport",$A$1="portsmouth",$A$1="middletown"),$F$65521:$I$65526,IF(OR($A$1="hopkinton",$A$1="westerly"),$F$65511:$I$65516,$F$65501:$I$65506))),2,2)/12</f>
        <v>3825</v>
      </c>
      <c r="H4" s="109">
        <f>INDEX(IF($A$1="new shoreham",$F$65531:$I$65536,IF(OR($A$1="newport",$A$1="portsmouth",$A$1="middletown"),$F$65521:$I$65526,IF(OR($A$1="hopkinton",$A$1="westerly"),$F$65511:$I$65516,$F$65501:$I$65506))),2,3)/12</f>
        <v>4300</v>
      </c>
      <c r="I4" s="109">
        <f>INDEX(IF($A$1="new shoreham",$F$65531:$I$65536,IF(OR($A$1="newport",$A$1="portsmouth",$A$1="middletown"),$F$65521:$I$65526,IF(OR($A$1="hopkinton",$A$1="westerly"),$F$65511:$I$65516,$F$65501:$I$65506))),2,4)/12</f>
        <v>4779.166666666667</v>
      </c>
      <c r="K4" s="54">
        <f>B15</f>
        <v>0</v>
      </c>
      <c r="L4" s="55" t="s">
        <v>61</v>
      </c>
      <c r="M4" s="54">
        <f>B15</f>
        <v>0</v>
      </c>
      <c r="N4" s="55" t="s">
        <v>61</v>
      </c>
    </row>
    <row r="5" spans="1:14" ht="14.25" thickBot="1" x14ac:dyDescent="0.3">
      <c r="A5" s="33" t="s">
        <v>5</v>
      </c>
      <c r="B5" s="27">
        <f>B4*0.3</f>
        <v>0</v>
      </c>
      <c r="C5" s="73"/>
      <c r="E5" s="89">
        <v>0.8</v>
      </c>
      <c r="F5" s="109">
        <f>INDEX(IF($A$1="new shoreham",$F$65531:$I$65536,IF(OR($A$1="newport",$A$1="portsmouth",$A$1="middletown"),$F$65521:$I$65526,IF(OR($A$1="hopkinton",$A$1="westerly"),$F$65511:$I$65516,$F$65501:$I$65506))),3,1)/12</f>
        <v>3820.8333333333335</v>
      </c>
      <c r="G5" s="109">
        <f>INDEX(IF($A$1="new shoreham",$F$65531:$I$65536,IF(OR($A$1="newport",$A$1="portsmouth",$A$1="middletown"),$F$65521:$I$65526,IF(OR($A$1="hopkinton",$A$1="westerly"),$F$65511:$I$65516,$F$65501:$I$65506))),3,2)/12</f>
        <v>4366.666666666667</v>
      </c>
      <c r="H5" s="109">
        <f>INDEX(IF($A$1="new shoreham",$F$65531:$I$65536,IF(OR($A$1="newport",$A$1="portsmouth",$A$1="middletown"),$F$65521:$I$65526,IF(OR($A$1="hopkinton",$A$1="westerly"),$F$65511:$I$65516,$F$65501:$I$65506))),3,3)/12</f>
        <v>4912.5</v>
      </c>
      <c r="I5" s="109">
        <f>INDEX(IF($A$1="new shoreham",$F$65531:$I$65536,IF(OR($A$1="newport",$A$1="portsmouth",$A$1="middletown"),$F$65521:$I$65526,IF(OR($A$1="hopkinton",$A$1="westerly"),$F$65511:$I$65516,$F$65501:$I$65506))),3,4)/12</f>
        <v>5458.333333333333</v>
      </c>
      <c r="K5" s="56">
        <f>IF(B4&gt;0,LOOKUP($A$1,$A$65498:$A$65536,$D$65498:$D$65536),0)</f>
        <v>0</v>
      </c>
      <c r="L5" s="55" t="s">
        <v>62</v>
      </c>
      <c r="M5" s="65">
        <f>IF(B4&gt;0,LOOKUP($A$1,$A$65498:$A$65536,$J$65498:$J$65536),0)</f>
        <v>0</v>
      </c>
      <c r="N5" s="55" t="s">
        <v>62</v>
      </c>
    </row>
    <row r="6" spans="1:14" ht="14.25" thickBot="1" x14ac:dyDescent="0.3">
      <c r="A6" s="34"/>
      <c r="B6" s="28"/>
      <c r="C6" s="74"/>
      <c r="E6" s="89">
        <v>1</v>
      </c>
      <c r="F6" s="109">
        <f>INDEX(IF($A$1="new shoreham",$F$65531:$I$65536,IF(OR($A$1="newport",$A$1="portsmouth",$A$1="middletown"),$F$65521:$I$65526,IF(OR($A$1="hopkinton",$A$1="westerly"),$F$65511:$I$65516,$F$65501:$I$65506))),4,1)/12</f>
        <v>4779.166666666667</v>
      </c>
      <c r="G6" s="109">
        <f>INDEX(IF($A$1="new shoreham",$F$65531:$I$65536,IF(OR($A$1="newport",$A$1="portsmouth",$A$1="middletown"),$F$65521:$I$65526,IF(OR($A$1="hopkinton",$A$1="westerly"),$F$65511:$I$65516,$F$65501:$I$65506))),4,2)/12</f>
        <v>5458.333333333333</v>
      </c>
      <c r="H6" s="109">
        <f>INDEX(IF($A$1="new shoreham",$F$65531:$I$65536,IF(OR($A$1="newport",$A$1="portsmouth",$A$1="middletown"),$F$65521:$I$65526,IF(OR($A$1="hopkinton",$A$1="westerly"),$F$65511:$I$65516,$F$65501:$I$65506))),4,3)/12</f>
        <v>6141.666666666667</v>
      </c>
      <c r="I6" s="109">
        <f>INDEX(IF($A$1="new shoreham",$F$65531:$I$65536,IF(OR($A$1="newport",$A$1="portsmouth",$A$1="middletown"),$F$65521:$I$65526,IF(OR($A$1="hopkinton",$A$1="westerly"),$F$65511:$I$65516,$F$65501:$I$65506))),4,4)/12</f>
        <v>6825</v>
      </c>
      <c r="K6" s="57">
        <f>B17-(B17*K5)</f>
        <v>0</v>
      </c>
      <c r="L6" s="55" t="s">
        <v>63</v>
      </c>
      <c r="M6" s="66"/>
      <c r="N6" s="55" t="s">
        <v>63</v>
      </c>
    </row>
    <row r="7" spans="1:14" ht="14.25" thickBot="1" x14ac:dyDescent="0.3">
      <c r="A7" s="50"/>
      <c r="B7" s="51"/>
      <c r="C7" s="75"/>
      <c r="E7" s="89">
        <v>1.1499999999999999</v>
      </c>
      <c r="F7" s="109">
        <f>INDEX(IF($A$1="new shoreham",$F$65531:$I$65536,IF(OR($A$1="newport",$A$1="portsmouth",$A$1="middletown"),$F$65521:$I$65526,IF(OR($A$1="hopkinton",$A$1="westerly"),$F$65511:$I$65516,$F$65501:$I$65506))),5,1)/12</f>
        <v>5495.833333333333</v>
      </c>
      <c r="G7" s="109">
        <f>INDEX(IF($A$1="new shoreham",$F$65531:$I$65536,IF(OR($A$1="newport",$A$1="portsmouth",$A$1="middletown"),$F$65521:$I$65526,IF(OR($A$1="hopkinton",$A$1="westerly"),$F$65511:$I$65516,$F$65501:$I$65506))),5,2)/12</f>
        <v>6112.5</v>
      </c>
      <c r="H7" s="109">
        <f>INDEX(IF($A$1="new shoreham",$F$65531:$I$65536,IF(OR($A$1="newport",$A$1="portsmouth",$A$1="middletown"),$F$65521:$I$65526,IF(OR($A$1="hopkinton",$A$1="westerly"),$F$65511:$I$65516,$F$65501:$I$65506))),5,3)/12</f>
        <v>7066.666666666667</v>
      </c>
      <c r="I7" s="109">
        <f>INDEX(IF($A$1="new shoreham",$F$65531:$I$65536,IF(OR($A$1="newport",$A$1="portsmouth",$A$1="middletown"),$F$65521:$I$65526,IF(OR($A$1="hopkinton",$A$1="westerly"),$F$65511:$I$65516,$F$65501:$I$65506))),5,4)/12</f>
        <v>7850</v>
      </c>
      <c r="K7" s="58">
        <f>IF(B4&gt;0,LOOKUP($A$1,$A$65498:$A$65536,$B$65498:$B$65536),0)</f>
        <v>0</v>
      </c>
      <c r="L7" s="55" t="s">
        <v>64</v>
      </c>
      <c r="M7" s="67"/>
      <c r="N7" s="55" t="s">
        <v>64</v>
      </c>
    </row>
    <row r="8" spans="1:14" ht="14.25" customHeight="1" thickBot="1" x14ac:dyDescent="0.25">
      <c r="A8" s="71" t="s">
        <v>6</v>
      </c>
      <c r="B8" s="4">
        <f>IF(B4&gt;0,SUM($B$17*LOOKUP($A$1,$A$65498:$A$65536,$B$65498:$B$65536)/12),0)</f>
        <v>0</v>
      </c>
      <c r="C8" s="76"/>
      <c r="E8" s="89">
        <v>1.2</v>
      </c>
      <c r="F8" s="109">
        <f>INDEX(IF($A$1="new shoreham",$F$65531:$I$65536,IF(OR($A$1="newport",$A$1="portsmouth",$A$1="middletown"),$F$65521:$I$65526,IF(OR($A$1="hopkinton",$A$1="westerly"),$F$65511:$I$65516,$F$65501:$I$65506))),6,1)/12</f>
        <v>5733.333333333333</v>
      </c>
      <c r="G8" s="109">
        <f>INDEX(IF($A$1="new shoreham",$F$65531:$I$65536,IF(OR($A$1="newport",$A$1="portsmouth",$A$1="middletown"),$F$65521:$I$65526,IF(OR($A$1="hopkinton",$A$1="westerly"),$F$65511:$I$65516,$F$65501:$I$65506))),6,2)/12</f>
        <v>6554.166666666667</v>
      </c>
      <c r="H8" s="109">
        <f>INDEX(IF($A$1="new shoreham",$F$65531:$I$65536,IF(OR($A$1="newport",$A$1="portsmouth",$A$1="middletown"),$F$65521:$I$65526,IF(OR($A$1="hopkinton",$A$1="westerly"),$F$65511:$I$65516,$F$65501:$I$65506))),6,3)/12</f>
        <v>7370.833333333333</v>
      </c>
      <c r="I8" s="109">
        <f>INDEX(IF($A$1="new shoreham",$F$65531:$I$65536,IF(OR($A$1="newport",$A$1="portsmouth",$A$1="middletown"),$F$65521:$I$65526,IF(OR($A$1="hopkinton",$A$1="westerly"),$F$65511:$I$65516,$F$65501:$I$65506))),6,4)/12</f>
        <v>8191.666666666667</v>
      </c>
      <c r="K8" s="59">
        <f>(K6*K7)/12</f>
        <v>0</v>
      </c>
      <c r="L8" s="55" t="s">
        <v>65</v>
      </c>
      <c r="M8" s="68"/>
      <c r="N8" s="55" t="s">
        <v>65</v>
      </c>
    </row>
    <row r="9" spans="1:14" ht="14.25" customHeight="1" x14ac:dyDescent="0.25">
      <c r="A9" s="85"/>
      <c r="B9" s="86"/>
      <c r="C9" s="77"/>
      <c r="E9" s="5"/>
      <c r="K9" s="59">
        <f>B8</f>
        <v>0</v>
      </c>
      <c r="L9" s="55" t="s">
        <v>66</v>
      </c>
      <c r="M9" s="69"/>
      <c r="N9" s="55" t="s">
        <v>66</v>
      </c>
    </row>
    <row r="10" spans="1:14" ht="14.25" customHeight="1" x14ac:dyDescent="0.2">
      <c r="A10" s="71" t="s">
        <v>77</v>
      </c>
      <c r="B10" s="84">
        <f>30</f>
        <v>30</v>
      </c>
      <c r="C10" s="78"/>
      <c r="E10" s="6"/>
      <c r="F10" s="6"/>
      <c r="G10" s="6"/>
      <c r="H10" s="6"/>
      <c r="I10" s="6"/>
      <c r="J10" s="6"/>
      <c r="K10" s="59">
        <f>K9-K8</f>
        <v>0</v>
      </c>
      <c r="L10" s="55" t="s">
        <v>67</v>
      </c>
      <c r="M10" s="59">
        <f>M5</f>
        <v>0</v>
      </c>
      <c r="N10" s="55" t="s">
        <v>67</v>
      </c>
    </row>
    <row r="11" spans="1:14" ht="14.25" customHeight="1" x14ac:dyDescent="0.2">
      <c r="A11" s="71" t="s">
        <v>76</v>
      </c>
      <c r="B11" s="30">
        <v>0</v>
      </c>
      <c r="C11" s="79"/>
      <c r="E11" s="6"/>
      <c r="F11" s="6"/>
      <c r="G11" s="6"/>
      <c r="H11" s="6"/>
      <c r="I11" s="6"/>
      <c r="J11" s="6"/>
      <c r="K11" s="59">
        <f>K4+K10</f>
        <v>0</v>
      </c>
      <c r="L11" s="55" t="s">
        <v>68</v>
      </c>
      <c r="M11" s="59">
        <f>M4+M10</f>
        <v>0</v>
      </c>
      <c r="N11" s="55" t="s">
        <v>68</v>
      </c>
    </row>
    <row r="12" spans="1:14" ht="14.25" customHeight="1" thickBot="1" x14ac:dyDescent="0.25">
      <c r="A12" s="71" t="s">
        <v>7</v>
      </c>
      <c r="B12" s="29"/>
      <c r="C12" s="78"/>
      <c r="E12" s="14"/>
      <c r="F12" s="14"/>
      <c r="G12" s="14"/>
      <c r="I12" s="6"/>
      <c r="J12" s="6"/>
      <c r="K12" s="60">
        <f>B16</f>
        <v>0</v>
      </c>
      <c r="L12" s="55" t="s">
        <v>69</v>
      </c>
      <c r="M12" s="60">
        <f>B16</f>
        <v>0</v>
      </c>
      <c r="N12" s="55" t="s">
        <v>69</v>
      </c>
    </row>
    <row r="13" spans="1:14" ht="14.25" customHeight="1" thickBot="1" x14ac:dyDescent="0.25">
      <c r="A13" s="71" t="s">
        <v>8</v>
      </c>
      <c r="B13" s="4">
        <f>IF(B4&gt;0,(B17*F13)/12,0)</f>
        <v>0</v>
      </c>
      <c r="C13" s="80"/>
      <c r="E13" s="20" t="s">
        <v>0</v>
      </c>
      <c r="F13" s="22">
        <v>8.5000000000000006E-3</v>
      </c>
      <c r="G13" s="21" t="s">
        <v>1</v>
      </c>
      <c r="I13" s="6"/>
      <c r="J13" s="6"/>
      <c r="K13" s="61">
        <f>PV(K12/12,360,-K11,0,0)</f>
        <v>0</v>
      </c>
      <c r="L13" s="62" t="s">
        <v>70</v>
      </c>
      <c r="M13" s="61">
        <f>PV(M12/12,360,-M11,0,0)</f>
        <v>0</v>
      </c>
      <c r="N13" s="62" t="s">
        <v>70</v>
      </c>
    </row>
    <row r="14" spans="1:14" s="7" customFormat="1" ht="14.25" thickBot="1" x14ac:dyDescent="0.3">
      <c r="A14" s="36"/>
      <c r="B14" s="4"/>
      <c r="C14" s="81"/>
      <c r="E14" s="6"/>
      <c r="F14" s="6"/>
      <c r="G14" s="6"/>
      <c r="H14" s="6"/>
      <c r="I14" s="6"/>
      <c r="J14" s="6"/>
      <c r="K14" s="63" t="b">
        <f>IF(K13&gt;B17,TRUE,FALSE)</f>
        <v>0</v>
      </c>
      <c r="L14" s="64" t="s">
        <v>75</v>
      </c>
      <c r="M14" s="63" t="b">
        <f>IF(M13&gt;B17,TRUE,FALSE)</f>
        <v>0</v>
      </c>
      <c r="N14" s="64" t="s">
        <v>75</v>
      </c>
    </row>
    <row r="15" spans="1:14" s="7" customFormat="1" ht="14.25" thickBot="1" x14ac:dyDescent="0.3">
      <c r="A15" s="37" t="s">
        <v>2</v>
      </c>
      <c r="B15" s="8">
        <f>IF(B4&gt;0,B5-SUM(B8:B14),0)</f>
        <v>0</v>
      </c>
      <c r="C15" s="80"/>
      <c r="E15" s="6"/>
      <c r="F15" s="6"/>
      <c r="G15" s="6"/>
      <c r="H15" s="6"/>
      <c r="I15" s="6"/>
      <c r="J15" s="6"/>
    </row>
    <row r="16" spans="1:14" ht="14.25" thickBot="1" x14ac:dyDescent="0.3">
      <c r="A16" s="35" t="s">
        <v>79</v>
      </c>
      <c r="B16" s="87"/>
      <c r="C16" s="82"/>
      <c r="D16" s="9"/>
      <c r="E16" s="111" t="s">
        <v>4</v>
      </c>
      <c r="F16" s="112"/>
      <c r="G16" s="112"/>
      <c r="H16" s="113"/>
      <c r="I16" s="3"/>
      <c r="J16" s="3"/>
      <c r="K16" s="70"/>
      <c r="M16" s="70"/>
    </row>
    <row r="17" spans="1:10" s="11" customFormat="1" ht="13.5" x14ac:dyDescent="0.25">
      <c r="A17" s="35" t="s">
        <v>3</v>
      </c>
      <c r="B17" s="10">
        <f>PV(B16/12,360,-B15,0,0)</f>
        <v>0</v>
      </c>
      <c r="C17" s="83"/>
      <c r="E17" s="12"/>
      <c r="F17" s="12"/>
      <c r="G17" s="12"/>
      <c r="H17" s="12"/>
      <c r="I17" s="12"/>
      <c r="J17" s="12"/>
    </row>
    <row r="18" spans="1:10" s="6" customFormat="1" ht="13.5" x14ac:dyDescent="0.25">
      <c r="A18" s="38"/>
      <c r="B18" s="13"/>
      <c r="C18" s="13"/>
    </row>
    <row r="20" spans="1:10" x14ac:dyDescent="0.2">
      <c r="A20" s="49" t="s">
        <v>58</v>
      </c>
      <c r="B20" s="6"/>
      <c r="C20" s="6"/>
    </row>
    <row r="21" spans="1:10" ht="13.5" x14ac:dyDescent="0.25">
      <c r="A21" s="40"/>
      <c r="B21" s="6"/>
      <c r="C21" s="6"/>
      <c r="E21" s="15"/>
      <c r="I21" s="6"/>
      <c r="J21" s="6"/>
    </row>
    <row r="22" spans="1:10" x14ac:dyDescent="0.2">
      <c r="A22" s="39" t="s">
        <v>55</v>
      </c>
      <c r="B22" s="6"/>
      <c r="C22" s="6"/>
      <c r="E22" s="6"/>
      <c r="F22" s="6"/>
      <c r="G22" s="6"/>
      <c r="H22" s="6"/>
      <c r="I22" s="6"/>
      <c r="J22" s="6"/>
    </row>
    <row r="23" spans="1:10" x14ac:dyDescent="0.2">
      <c r="A23" s="114" t="s">
        <v>57</v>
      </c>
      <c r="B23" s="114"/>
      <c r="C23" s="114"/>
      <c r="D23" s="114"/>
      <c r="E23" s="114"/>
      <c r="F23" s="114"/>
      <c r="G23" s="114"/>
      <c r="H23" s="114"/>
    </row>
    <row r="24" spans="1:10" x14ac:dyDescent="0.2">
      <c r="A24" s="114"/>
      <c r="B24" s="114"/>
      <c r="C24" s="114"/>
      <c r="D24" s="114"/>
      <c r="E24" s="114"/>
      <c r="F24" s="114"/>
      <c r="G24" s="114"/>
      <c r="H24" s="114"/>
      <c r="I24" s="6"/>
      <c r="J24" s="6"/>
    </row>
    <row r="25" spans="1:10" x14ac:dyDescent="0.2">
      <c r="A25" s="114"/>
      <c r="B25" s="114"/>
      <c r="C25" s="114"/>
      <c r="D25" s="114"/>
      <c r="E25" s="114"/>
      <c r="F25" s="114"/>
      <c r="G25" s="114"/>
      <c r="H25" s="114"/>
    </row>
    <row r="26" spans="1:10" ht="13.5" customHeight="1" x14ac:dyDescent="0.2">
      <c r="A26" s="114"/>
      <c r="B26" s="114"/>
      <c r="C26" s="114"/>
      <c r="D26" s="114"/>
      <c r="E26" s="114"/>
      <c r="F26" s="114"/>
      <c r="G26" s="114"/>
      <c r="H26" s="114"/>
      <c r="I26" s="6"/>
      <c r="J26" s="6"/>
    </row>
    <row r="27" spans="1:10" ht="13.5" x14ac:dyDescent="0.25">
      <c r="A27" s="41"/>
      <c r="B27" s="16"/>
      <c r="C27" s="16"/>
      <c r="E27" s="6"/>
      <c r="F27" s="6"/>
      <c r="G27" s="6"/>
      <c r="H27" s="6"/>
      <c r="I27" s="6"/>
      <c r="J27" s="6"/>
    </row>
    <row r="28" spans="1:10" x14ac:dyDescent="0.2">
      <c r="A28" s="53" t="s">
        <v>60</v>
      </c>
      <c r="B28" s="14"/>
      <c r="C28" s="14"/>
    </row>
    <row r="29" spans="1:10" ht="18.75" customHeight="1" x14ac:dyDescent="0.2">
      <c r="A29" s="39" t="s">
        <v>80</v>
      </c>
      <c r="B29" s="14"/>
      <c r="C29" s="14"/>
    </row>
    <row r="30" spans="1:10" ht="18" customHeight="1" x14ac:dyDescent="0.25">
      <c r="A30" s="39" t="s">
        <v>78</v>
      </c>
      <c r="B30" s="16"/>
      <c r="C30" s="16"/>
      <c r="E30" s="6"/>
      <c r="F30" s="18"/>
      <c r="G30" s="6"/>
      <c r="H30" s="6"/>
      <c r="I30" s="6"/>
      <c r="J30" s="6"/>
    </row>
    <row r="31" spans="1:10" ht="19.5" customHeight="1" x14ac:dyDescent="0.2">
      <c r="A31" s="88"/>
      <c r="B31" s="88"/>
      <c r="C31" s="88"/>
      <c r="D31" s="88"/>
      <c r="E31" s="88"/>
      <c r="F31" s="88"/>
      <c r="G31" s="88"/>
      <c r="H31" s="88"/>
      <c r="I31" s="88"/>
      <c r="J31" s="2"/>
    </row>
    <row r="32" spans="1:10" ht="13.5" customHeight="1" x14ac:dyDescent="0.2">
      <c r="A32" s="88"/>
      <c r="B32" s="88"/>
      <c r="C32" s="88"/>
      <c r="D32" s="88"/>
      <c r="E32" s="88"/>
      <c r="F32" s="88"/>
      <c r="G32" s="88"/>
      <c r="H32" s="88"/>
      <c r="I32" s="88"/>
      <c r="J32" s="17"/>
    </row>
    <row r="33" spans="1:10" x14ac:dyDescent="0.2">
      <c r="A33" s="88"/>
      <c r="B33" s="88"/>
      <c r="C33" s="88"/>
      <c r="D33" s="88"/>
      <c r="E33" s="88"/>
      <c r="F33" s="88"/>
      <c r="G33" s="88"/>
      <c r="H33" s="88"/>
      <c r="I33" s="88"/>
      <c r="J33" s="19"/>
    </row>
    <row r="34" spans="1:10" ht="13.5" x14ac:dyDescent="0.25">
      <c r="A34" s="42"/>
      <c r="B34" s="14"/>
      <c r="C34" s="14"/>
      <c r="E34" s="6"/>
      <c r="F34" s="18"/>
      <c r="G34" s="6"/>
      <c r="H34" s="6"/>
      <c r="I34" s="6"/>
      <c r="J34" s="6"/>
    </row>
    <row r="35" spans="1:10" ht="13.5" x14ac:dyDescent="0.25">
      <c r="A35" s="42"/>
      <c r="B35" s="16"/>
      <c r="C35" s="14"/>
    </row>
    <row r="36" spans="1:10" ht="13.5" x14ac:dyDescent="0.25">
      <c r="A36" s="43"/>
      <c r="B36" s="3"/>
      <c r="C36" s="3"/>
    </row>
    <row r="37" spans="1:10" ht="13.5" x14ac:dyDescent="0.25">
      <c r="A37" s="43"/>
      <c r="B37" s="17"/>
      <c r="C37" s="17"/>
    </row>
    <row r="38" spans="1:10" ht="13.5" x14ac:dyDescent="0.25">
      <c r="A38" s="43"/>
      <c r="B38" s="17"/>
      <c r="C38" s="17"/>
    </row>
    <row r="39" spans="1:10" ht="13.5" x14ac:dyDescent="0.25">
      <c r="A39" s="43"/>
      <c r="B39" s="17"/>
      <c r="C39" s="17"/>
    </row>
    <row r="40" spans="1:10" ht="13.5" x14ac:dyDescent="0.25">
      <c r="A40" s="43"/>
      <c r="B40" s="17"/>
      <c r="C40" s="17"/>
    </row>
    <row r="65497" spans="1:10" ht="13.5" thickBot="1" x14ac:dyDescent="0.25">
      <c r="A65497" s="44"/>
      <c r="B65497" s="25" t="s">
        <v>49</v>
      </c>
      <c r="C65497" s="9" t="s">
        <v>59</v>
      </c>
      <c r="D65497" s="1" t="s">
        <v>71</v>
      </c>
      <c r="J65497" s="1" t="s">
        <v>73</v>
      </c>
    </row>
    <row r="65498" spans="1:10" ht="13.5" thickBot="1" x14ac:dyDescent="0.25">
      <c r="A65498" s="45" t="s">
        <v>11</v>
      </c>
      <c r="B65498" s="24">
        <v>2.01E-2</v>
      </c>
      <c r="C65498" s="52">
        <v>106.08</v>
      </c>
      <c r="D65498" s="1">
        <v>0</v>
      </c>
      <c r="E65498" s="105" t="s">
        <v>54</v>
      </c>
      <c r="F65498" s="106"/>
      <c r="G65498" s="106"/>
      <c r="H65498" s="106"/>
      <c r="I65498" s="107"/>
      <c r="J65498" s="1">
        <v>0</v>
      </c>
    </row>
    <row r="65499" spans="1:10" ht="13.5" thickBot="1" x14ac:dyDescent="0.25">
      <c r="A65499" s="44" t="s">
        <v>12</v>
      </c>
      <c r="B65499" s="24">
        <v>1.372E-2</v>
      </c>
      <c r="C65499" s="52">
        <v>115.84</v>
      </c>
      <c r="D65499" s="1">
        <v>0</v>
      </c>
      <c r="E65499" s="105" t="s">
        <v>81</v>
      </c>
      <c r="F65499" s="106"/>
      <c r="G65499" s="106"/>
      <c r="H65499" s="106"/>
      <c r="I65499" s="107"/>
      <c r="J65499" s="1">
        <v>0</v>
      </c>
    </row>
    <row r="65500" spans="1:10" ht="13.5" thickBot="1" x14ac:dyDescent="0.25">
      <c r="A65500" s="44" t="s">
        <v>13</v>
      </c>
      <c r="B65500" s="24">
        <v>1.6E-2</v>
      </c>
      <c r="C65500" s="52">
        <v>106.76</v>
      </c>
      <c r="D65500" s="1">
        <v>0</v>
      </c>
      <c r="E65500" s="90" t="s">
        <v>10</v>
      </c>
      <c r="F65500" s="91">
        <v>1</v>
      </c>
      <c r="G65500" s="91">
        <v>2</v>
      </c>
      <c r="H65500" s="91">
        <v>3</v>
      </c>
      <c r="I65500" s="91">
        <v>4</v>
      </c>
      <c r="J65500" s="1">
        <v>0</v>
      </c>
    </row>
    <row r="65501" spans="1:10" ht="13.5" thickBot="1" x14ac:dyDescent="0.25">
      <c r="A65501" s="44" t="s">
        <v>14</v>
      </c>
      <c r="B65501" s="24">
        <v>2.4760000000000001E-2</v>
      </c>
      <c r="C65501" s="52">
        <v>129.58000000000001</v>
      </c>
      <c r="D65501" s="1">
        <v>0</v>
      </c>
      <c r="E65501" s="89">
        <v>0.6</v>
      </c>
      <c r="F65501" s="95">
        <v>34400</v>
      </c>
      <c r="G65501" s="95">
        <v>39300</v>
      </c>
      <c r="H65501" s="95">
        <v>44250</v>
      </c>
      <c r="I65501" s="95">
        <v>49150</v>
      </c>
      <c r="J65501" s="1">
        <f>679.19/12</f>
        <v>56.599166666666669</v>
      </c>
    </row>
    <row r="65502" spans="1:10" ht="13.5" thickBot="1" x14ac:dyDescent="0.25">
      <c r="A65502" s="44" t="s">
        <v>15</v>
      </c>
      <c r="B65502" s="24">
        <v>9.2300000000000004E-3</v>
      </c>
      <c r="C65502" s="52">
        <v>133.79</v>
      </c>
      <c r="D65502" s="1">
        <v>0</v>
      </c>
      <c r="E65502" s="89">
        <v>0.7</v>
      </c>
      <c r="F65502" s="108">
        <v>40150</v>
      </c>
      <c r="G65502" s="108">
        <v>45900</v>
      </c>
      <c r="H65502" s="108">
        <v>51600</v>
      </c>
      <c r="I65502" s="108">
        <v>57350</v>
      </c>
      <c r="J65502" s="1">
        <v>0</v>
      </c>
    </row>
    <row r="65503" spans="1:10" ht="13.5" thickBot="1" x14ac:dyDescent="0.25">
      <c r="A65503" s="44" t="s">
        <v>16</v>
      </c>
      <c r="B65503" s="24">
        <v>2.2239999999999999E-2</v>
      </c>
      <c r="C65503" s="52">
        <v>102.22</v>
      </c>
      <c r="D65503" s="1">
        <v>0</v>
      </c>
      <c r="E65503" s="89">
        <v>0.8</v>
      </c>
      <c r="F65503" s="96">
        <v>45850</v>
      </c>
      <c r="G65503" s="96">
        <v>52400</v>
      </c>
      <c r="H65503" s="96">
        <v>58950</v>
      </c>
      <c r="I65503" s="96">
        <v>65500</v>
      </c>
      <c r="J65503" s="1">
        <v>0</v>
      </c>
    </row>
    <row r="65504" spans="1:10" ht="13.5" thickBot="1" x14ac:dyDescent="0.25">
      <c r="A65504" s="45" t="s">
        <v>17</v>
      </c>
      <c r="B65504" s="24">
        <v>2.077E-2</v>
      </c>
      <c r="C65504" s="52">
        <v>107.45</v>
      </c>
      <c r="D65504" s="1">
        <v>0</v>
      </c>
      <c r="E65504" s="89">
        <v>1</v>
      </c>
      <c r="F65504" s="97">
        <v>57350</v>
      </c>
      <c r="G65504" s="97">
        <v>65500</v>
      </c>
      <c r="H65504" s="97">
        <v>73700</v>
      </c>
      <c r="I65504" s="98">
        <v>81900</v>
      </c>
      <c r="J65504" s="1">
        <v>0</v>
      </c>
    </row>
    <row r="65505" spans="1:10" ht="13.5" thickBot="1" x14ac:dyDescent="0.25">
      <c r="A65505" s="44" t="s">
        <v>18</v>
      </c>
      <c r="B65505" s="24">
        <v>1.5879999999999998E-2</v>
      </c>
      <c r="C65505" s="52">
        <v>102.36</v>
      </c>
      <c r="D65505" s="1">
        <v>0</v>
      </c>
      <c r="E65505" s="89">
        <v>1.1499999999999999</v>
      </c>
      <c r="F65505" s="97">
        <v>65950</v>
      </c>
      <c r="G65505" s="97">
        <v>73350</v>
      </c>
      <c r="H65505" s="97">
        <v>84800</v>
      </c>
      <c r="I65505" s="99">
        <v>94200</v>
      </c>
      <c r="J65505" s="1">
        <v>0</v>
      </c>
    </row>
    <row r="65506" spans="1:10" ht="13.5" thickBot="1" x14ac:dyDescent="0.25">
      <c r="A65506" s="44" t="s">
        <v>19</v>
      </c>
      <c r="B65506" s="24">
        <v>2.3210000000000001E-2</v>
      </c>
      <c r="C65506" s="52">
        <v>137.9</v>
      </c>
      <c r="D65506" s="1">
        <v>0</v>
      </c>
      <c r="E65506" s="89">
        <v>1.2</v>
      </c>
      <c r="F65506" s="97">
        <v>68800</v>
      </c>
      <c r="G65506" s="97">
        <v>78650</v>
      </c>
      <c r="H65506" s="97">
        <v>88450</v>
      </c>
      <c r="I65506" s="99">
        <v>98300</v>
      </c>
      <c r="J65506" s="1">
        <v>0</v>
      </c>
    </row>
    <row r="65507" spans="1:10" ht="13.5" thickBot="1" x14ac:dyDescent="0.25">
      <c r="A65507" s="44" t="s">
        <v>20</v>
      </c>
      <c r="B65507" s="24">
        <v>2.002E-2</v>
      </c>
      <c r="C65507" s="52">
        <v>106.79</v>
      </c>
      <c r="D65507" s="1">
        <v>0.13</v>
      </c>
      <c r="E65507"/>
      <c r="F65507"/>
      <c r="G65507"/>
      <c r="H65507"/>
      <c r="I65507"/>
      <c r="J65507" s="1">
        <v>0</v>
      </c>
    </row>
    <row r="65508" spans="1:10" ht="13.5" thickBot="1" x14ac:dyDescent="0.25">
      <c r="A65508" s="46" t="s">
        <v>21</v>
      </c>
      <c r="B65508" s="24">
        <v>1.5689999999999999E-2</v>
      </c>
      <c r="C65508" s="52">
        <v>98.87</v>
      </c>
      <c r="D65508" s="1">
        <v>0</v>
      </c>
      <c r="E65508" s="105" t="s">
        <v>53</v>
      </c>
      <c r="F65508" s="106"/>
      <c r="G65508" s="106"/>
      <c r="H65508" s="106"/>
      <c r="I65508" s="107"/>
      <c r="J65508" s="1">
        <v>0</v>
      </c>
    </row>
    <row r="65509" spans="1:10" ht="13.5" thickBot="1" x14ac:dyDescent="0.25">
      <c r="A65509" s="44" t="s">
        <v>22</v>
      </c>
      <c r="B65509" s="24">
        <v>2.3689999999999999E-2</v>
      </c>
      <c r="C65509" s="52">
        <v>110.82</v>
      </c>
      <c r="D65509" s="1">
        <v>0</v>
      </c>
      <c r="E65509" s="105" t="s">
        <v>81</v>
      </c>
      <c r="F65509" s="106"/>
      <c r="G65509" s="106"/>
      <c r="H65509" s="106"/>
      <c r="I65509" s="107"/>
      <c r="J65509" s="1">
        <v>0</v>
      </c>
    </row>
    <row r="65510" spans="1:10" ht="13.5" thickBot="1" x14ac:dyDescent="0.25">
      <c r="A65510" s="44" t="s">
        <v>23</v>
      </c>
      <c r="B65510" s="24">
        <v>2.044E-2</v>
      </c>
      <c r="C65510" s="52">
        <v>114.55</v>
      </c>
      <c r="D65510" s="1">
        <v>0</v>
      </c>
      <c r="E65510" s="90" t="s">
        <v>10</v>
      </c>
      <c r="F65510" s="100">
        <v>1</v>
      </c>
      <c r="G65510" s="100">
        <v>2</v>
      </c>
      <c r="H65510" s="100">
        <v>3</v>
      </c>
      <c r="I65510" s="100">
        <v>4</v>
      </c>
      <c r="J65510" s="1">
        <v>0</v>
      </c>
    </row>
    <row r="65511" spans="1:10" ht="13.5" thickBot="1" x14ac:dyDescent="0.25">
      <c r="A65511" s="44" t="s">
        <v>24</v>
      </c>
      <c r="B65511" s="24">
        <v>2.068E-2</v>
      </c>
      <c r="C65511" s="52">
        <v>98.23</v>
      </c>
      <c r="D65511" s="1">
        <v>0</v>
      </c>
      <c r="E65511" s="94">
        <v>0.6</v>
      </c>
      <c r="F65511" s="101">
        <v>35850</v>
      </c>
      <c r="G65511" s="101">
        <v>39800</v>
      </c>
      <c r="H65511" s="101">
        <v>44800</v>
      </c>
      <c r="I65511" s="101">
        <v>49750</v>
      </c>
      <c r="J65511" s="1">
        <v>0</v>
      </c>
    </row>
    <row r="65512" spans="1:10" ht="13.5" thickBot="1" x14ac:dyDescent="0.25">
      <c r="A65512" s="44" t="s">
        <v>25</v>
      </c>
      <c r="B65512" s="24">
        <v>8.0499999999999999E-3</v>
      </c>
      <c r="C65512" s="52">
        <v>135.24</v>
      </c>
      <c r="D65512" s="1">
        <v>0</v>
      </c>
      <c r="E65512" s="94">
        <v>0.7</v>
      </c>
      <c r="F65512" s="108">
        <v>40650</v>
      </c>
      <c r="G65512" s="108">
        <v>46450</v>
      </c>
      <c r="H65512" s="108">
        <v>52250</v>
      </c>
      <c r="I65512" s="108">
        <v>58050</v>
      </c>
      <c r="J65512" s="1">
        <v>0</v>
      </c>
    </row>
    <row r="65513" spans="1:10" ht="13.5" thickBot="1" x14ac:dyDescent="0.25">
      <c r="A65513" s="46" t="s">
        <v>26</v>
      </c>
      <c r="B65513" s="24">
        <v>2.2890000000000001E-2</v>
      </c>
      <c r="C65513" s="52">
        <v>104.84</v>
      </c>
      <c r="D65513" s="1">
        <v>0.2</v>
      </c>
      <c r="E65513" s="94">
        <v>0.8</v>
      </c>
      <c r="F65513" s="101">
        <v>46450</v>
      </c>
      <c r="G65513" s="101">
        <v>53050</v>
      </c>
      <c r="H65513" s="101">
        <v>59700</v>
      </c>
      <c r="I65513" s="101">
        <v>66300</v>
      </c>
      <c r="J65513" s="1">
        <v>0</v>
      </c>
    </row>
    <row r="65514" spans="1:10" ht="13.5" thickBot="1" x14ac:dyDescent="0.25">
      <c r="A65514" s="44" t="s">
        <v>27</v>
      </c>
      <c r="B65514" s="24">
        <v>1.9800000000000002E-2</v>
      </c>
      <c r="C65514" s="52">
        <v>113.26</v>
      </c>
      <c r="D65514" s="1">
        <v>0.35</v>
      </c>
      <c r="E65514" s="94">
        <v>1</v>
      </c>
      <c r="F65514" s="101">
        <v>58050</v>
      </c>
      <c r="G65514" s="101">
        <v>66300</v>
      </c>
      <c r="H65514" s="101">
        <v>74600</v>
      </c>
      <c r="I65514" s="101">
        <v>82900</v>
      </c>
      <c r="J65514" s="1">
        <v>0</v>
      </c>
    </row>
    <row r="65515" spans="1:10" ht="13.5" thickBot="1" x14ac:dyDescent="0.25">
      <c r="A65515" s="47" t="s">
        <v>28</v>
      </c>
      <c r="B65515" s="26">
        <v>5.9300000000000004E-3</v>
      </c>
      <c r="C65515" s="52">
        <v>109.63</v>
      </c>
      <c r="D65515" s="1">
        <v>0</v>
      </c>
      <c r="E65515" s="94">
        <v>1.1499999999999999</v>
      </c>
      <c r="F65515" s="101">
        <v>66750</v>
      </c>
      <c r="G65515" s="101">
        <v>76300</v>
      </c>
      <c r="H65515" s="101">
        <v>85800</v>
      </c>
      <c r="I65515" s="101">
        <v>95350</v>
      </c>
      <c r="J65515" s="1">
        <v>0</v>
      </c>
    </row>
    <row r="65516" spans="1:10" ht="13.5" thickBot="1" x14ac:dyDescent="0.25">
      <c r="A65516" s="47" t="s">
        <v>29</v>
      </c>
      <c r="B65516" s="24">
        <v>1.376E-2</v>
      </c>
      <c r="C65516" s="52">
        <v>126.46</v>
      </c>
      <c r="D65516" s="1">
        <v>0</v>
      </c>
      <c r="E65516" s="94">
        <v>1.2</v>
      </c>
      <c r="F65516" s="101">
        <v>69650</v>
      </c>
      <c r="G65516" s="101">
        <v>79600</v>
      </c>
      <c r="H65516" s="101">
        <v>89550</v>
      </c>
      <c r="I65516" s="101">
        <v>99500</v>
      </c>
      <c r="J65516" s="1">
        <v>0</v>
      </c>
    </row>
    <row r="65517" spans="1:10" ht="13.5" thickBot="1" x14ac:dyDescent="0.25">
      <c r="A65517" s="44" t="s">
        <v>30</v>
      </c>
      <c r="B65517" s="24">
        <v>1.023E-2</v>
      </c>
      <c r="C65517" s="52">
        <v>113.45</v>
      </c>
      <c r="D65517" s="1">
        <v>0</v>
      </c>
      <c r="E65517"/>
      <c r="F65517"/>
      <c r="G65517"/>
      <c r="H65517"/>
      <c r="I65517"/>
      <c r="J65517" s="1">
        <v>0</v>
      </c>
    </row>
    <row r="65518" spans="1:10" ht="13.5" thickBot="1" x14ac:dyDescent="0.25">
      <c r="A65518" s="46" t="s">
        <v>32</v>
      </c>
      <c r="B65518" s="24">
        <v>6.1599999999999997E-3</v>
      </c>
      <c r="C65518" s="52">
        <v>171.06</v>
      </c>
      <c r="D65518" s="1">
        <v>0</v>
      </c>
      <c r="E65518" s="105" t="s">
        <v>50</v>
      </c>
      <c r="F65518" s="106"/>
      <c r="G65518" s="106"/>
      <c r="H65518" s="106"/>
      <c r="I65518" s="107"/>
      <c r="J65518" s="1">
        <v>0</v>
      </c>
    </row>
    <row r="65519" spans="1:10" ht="13.5" thickBot="1" x14ac:dyDescent="0.25">
      <c r="A65519" s="46" t="s">
        <v>31</v>
      </c>
      <c r="B65519" s="24">
        <v>1.0279999999999999E-2</v>
      </c>
      <c r="C65519" s="52">
        <v>140.81</v>
      </c>
      <c r="D65519" s="1">
        <v>0</v>
      </c>
      <c r="E65519" s="105" t="s">
        <v>81</v>
      </c>
      <c r="F65519" s="106"/>
      <c r="G65519" s="106"/>
      <c r="H65519" s="106"/>
      <c r="I65519" s="107"/>
      <c r="J65519" s="1">
        <v>0</v>
      </c>
    </row>
    <row r="65520" spans="1:10" ht="13.5" thickBot="1" x14ac:dyDescent="0.25">
      <c r="A65520" s="44" t="s">
        <v>51</v>
      </c>
      <c r="B65520" s="24">
        <v>1.7090000000000001E-2</v>
      </c>
      <c r="C65520" s="52">
        <v>115.03</v>
      </c>
      <c r="D65520" s="1">
        <v>0</v>
      </c>
      <c r="E65520" s="90" t="s">
        <v>10</v>
      </c>
      <c r="F65520" s="91">
        <v>1</v>
      </c>
      <c r="G65520" s="91">
        <v>2</v>
      </c>
      <c r="H65520" s="91">
        <v>3</v>
      </c>
      <c r="I65520" s="91">
        <v>4</v>
      </c>
      <c r="J65520" s="1">
        <v>0</v>
      </c>
    </row>
    <row r="65521" spans="1:10" ht="13.5" thickBot="1" x14ac:dyDescent="0.25">
      <c r="A65521" s="45" t="s">
        <v>33</v>
      </c>
      <c r="B65521" s="24">
        <v>2.6890000000000001E-2</v>
      </c>
      <c r="C65521" s="52">
        <v>107.26</v>
      </c>
      <c r="D65521" s="1">
        <v>0.2</v>
      </c>
      <c r="E65521" s="89">
        <v>0.6</v>
      </c>
      <c r="F65521" s="104">
        <v>40200</v>
      </c>
      <c r="G65521" s="104">
        <v>45900</v>
      </c>
      <c r="H65521" s="104">
        <v>51650</v>
      </c>
      <c r="I65521" s="104">
        <v>57400</v>
      </c>
      <c r="J65521" s="1">
        <v>0</v>
      </c>
    </row>
    <row r="65522" spans="1:10" ht="13.5" thickBot="1" x14ac:dyDescent="0.25">
      <c r="A65522" s="45" t="s">
        <v>34</v>
      </c>
      <c r="B65522" s="26">
        <v>1.5869999999999999E-2</v>
      </c>
      <c r="C65522" s="52">
        <v>106.86</v>
      </c>
      <c r="D65522" s="1">
        <v>0</v>
      </c>
      <c r="E65522" s="89">
        <v>0.7</v>
      </c>
      <c r="F65522" s="108">
        <v>46900</v>
      </c>
      <c r="G65522" s="108">
        <v>53600</v>
      </c>
      <c r="H65522" s="108">
        <v>60300</v>
      </c>
      <c r="I65522" s="108">
        <v>67000</v>
      </c>
      <c r="J65522" s="1">
        <v>0</v>
      </c>
    </row>
    <row r="65523" spans="1:10" ht="13.5" thickBot="1" x14ac:dyDescent="0.25">
      <c r="A65523" s="44" t="s">
        <v>35</v>
      </c>
      <c r="B65523" s="24">
        <v>2.0889999999999999E-2</v>
      </c>
      <c r="C65523" s="52">
        <v>107.99</v>
      </c>
      <c r="D65523" s="1">
        <v>0</v>
      </c>
      <c r="E65523" s="89">
        <v>0.8</v>
      </c>
      <c r="F65523" s="102">
        <v>52850</v>
      </c>
      <c r="G65523" s="102">
        <v>60400</v>
      </c>
      <c r="H65523" s="102">
        <v>67950</v>
      </c>
      <c r="I65523" s="93">
        <v>75500</v>
      </c>
      <c r="J65523" s="1">
        <v>0</v>
      </c>
    </row>
    <row r="65524" spans="1:10" ht="13.5" thickBot="1" x14ac:dyDescent="0.25">
      <c r="A65524" s="44" t="s">
        <v>36</v>
      </c>
      <c r="B65524" s="24">
        <v>1.6400000000000001E-2</v>
      </c>
      <c r="C65524" s="52">
        <v>130.26</v>
      </c>
      <c r="D65524" s="1">
        <v>0</v>
      </c>
      <c r="E65524" s="89">
        <v>1</v>
      </c>
      <c r="F65524" s="92">
        <v>67000</v>
      </c>
      <c r="G65524" s="92">
        <v>76550</v>
      </c>
      <c r="H65524" s="92">
        <v>86150</v>
      </c>
      <c r="I65524" s="103">
        <v>95700</v>
      </c>
      <c r="J65524" s="1">
        <v>0</v>
      </c>
    </row>
    <row r="65525" spans="1:10" ht="13.5" thickBot="1" x14ac:dyDescent="0.25">
      <c r="A65525" s="47" t="s">
        <v>37</v>
      </c>
      <c r="B65525" s="24">
        <v>2.4559999999999998E-2</v>
      </c>
      <c r="C65525" s="52">
        <v>124.16</v>
      </c>
      <c r="D65525" s="1">
        <v>0</v>
      </c>
      <c r="E65525" s="89">
        <v>1.1499999999999999</v>
      </c>
      <c r="F65525" s="92">
        <v>77050</v>
      </c>
      <c r="G65525" s="92">
        <v>88050</v>
      </c>
      <c r="H65525" s="92">
        <v>99050</v>
      </c>
      <c r="I65525" s="103">
        <v>110050</v>
      </c>
      <c r="J65525" s="1">
        <v>0</v>
      </c>
    </row>
    <row r="65526" spans="1:10" ht="13.5" thickBot="1" x14ac:dyDescent="0.25">
      <c r="A65526" s="44" t="s">
        <v>38</v>
      </c>
      <c r="B65526" s="24">
        <v>2.188E-2</v>
      </c>
      <c r="C65526" s="52">
        <v>110.17</v>
      </c>
      <c r="D65526" s="1">
        <v>0</v>
      </c>
      <c r="E65526" s="89">
        <v>1.2</v>
      </c>
      <c r="F65526" s="92">
        <v>80400</v>
      </c>
      <c r="G65526" s="92">
        <v>91900</v>
      </c>
      <c r="H65526" s="92">
        <v>103350</v>
      </c>
      <c r="I65526" s="103">
        <v>114850</v>
      </c>
      <c r="J65526" s="1">
        <v>0</v>
      </c>
    </row>
    <row r="65527" spans="1:10" ht="13.5" thickBot="1" x14ac:dyDescent="0.25">
      <c r="A65527" s="44" t="s">
        <v>39</v>
      </c>
      <c r="B65527" s="24">
        <v>1.789E-2</v>
      </c>
      <c r="C65527" s="52">
        <v>118.85</v>
      </c>
      <c r="D65527" s="1">
        <v>0</v>
      </c>
      <c r="E65527"/>
      <c r="F65527"/>
      <c r="G65527"/>
      <c r="H65527"/>
      <c r="I65527"/>
      <c r="J65527" s="1">
        <v>0</v>
      </c>
    </row>
    <row r="65528" spans="1:10" ht="13.5" thickBot="1" x14ac:dyDescent="0.25">
      <c r="A65528" s="44" t="s">
        <v>40</v>
      </c>
      <c r="B65528" s="24">
        <v>1.6809999999999999E-2</v>
      </c>
      <c r="C65528" s="52">
        <v>100.97</v>
      </c>
      <c r="D65528" s="1">
        <v>0</v>
      </c>
      <c r="E65528" s="105" t="s">
        <v>32</v>
      </c>
      <c r="F65528" s="106"/>
      <c r="G65528" s="106"/>
      <c r="H65528" s="106"/>
      <c r="I65528" s="107"/>
      <c r="J65528" s="1">
        <v>0</v>
      </c>
    </row>
    <row r="65529" spans="1:10" ht="13.5" thickBot="1" x14ac:dyDescent="0.25">
      <c r="A65529" s="44" t="s">
        <v>41</v>
      </c>
      <c r="B65529" s="24">
        <v>1.4449999999999999E-2</v>
      </c>
      <c r="C65529" s="52">
        <v>118.57</v>
      </c>
      <c r="D65529" s="1">
        <v>0</v>
      </c>
      <c r="E65529" s="105" t="s">
        <v>81</v>
      </c>
      <c r="F65529" s="106"/>
      <c r="G65529" s="106"/>
      <c r="H65529" s="106"/>
      <c r="I65529" s="107"/>
      <c r="J65529" s="1">
        <v>0</v>
      </c>
    </row>
    <row r="65530" spans="1:10" ht="13.5" thickBot="1" x14ac:dyDescent="0.25">
      <c r="A65530" s="44" t="s">
        <v>42</v>
      </c>
      <c r="B65530" s="24">
        <v>1.5789999999999998E-2</v>
      </c>
      <c r="C65530" s="52">
        <v>116.83</v>
      </c>
      <c r="D65530" s="1">
        <v>0</v>
      </c>
      <c r="E65530" s="90" t="s">
        <v>10</v>
      </c>
      <c r="F65530" s="100">
        <v>1</v>
      </c>
      <c r="G65530" s="100">
        <v>2</v>
      </c>
      <c r="H65530" s="100">
        <v>3</v>
      </c>
      <c r="I65530" s="100">
        <v>4</v>
      </c>
      <c r="J65530" s="1">
        <v>0</v>
      </c>
    </row>
    <row r="65531" spans="1:10" ht="13.5" thickBot="1" x14ac:dyDescent="0.25">
      <c r="A65531" s="44" t="s">
        <v>43</v>
      </c>
      <c r="B65531" s="24">
        <v>1.9109999999999999E-2</v>
      </c>
      <c r="C65531" s="52">
        <v>111.06</v>
      </c>
      <c r="D65531" s="1">
        <v>0</v>
      </c>
      <c r="E65531" s="94">
        <v>0.6</v>
      </c>
      <c r="F65531" s="101">
        <v>34850</v>
      </c>
      <c r="G65531" s="101">
        <v>39800</v>
      </c>
      <c r="H65531" s="101">
        <v>44800</v>
      </c>
      <c r="I65531" s="101">
        <v>49750</v>
      </c>
      <c r="J65531" s="1">
        <v>0</v>
      </c>
    </row>
    <row r="65532" spans="1:10" ht="13.5" thickBot="1" x14ac:dyDescent="0.25">
      <c r="A65532" s="44" t="s">
        <v>44</v>
      </c>
      <c r="B65532" s="24">
        <v>1.873E-2</v>
      </c>
      <c r="C65532" s="52">
        <v>106.46</v>
      </c>
      <c r="D65532" s="1">
        <v>0</v>
      </c>
      <c r="E65532" s="94">
        <v>0.7</v>
      </c>
      <c r="F65532" s="108">
        <v>40650</v>
      </c>
      <c r="G65532" s="108">
        <v>46450</v>
      </c>
      <c r="H65532" s="108">
        <v>52250</v>
      </c>
      <c r="I65532" s="108">
        <v>58050</v>
      </c>
      <c r="J65532" s="1">
        <v>0</v>
      </c>
    </row>
    <row r="65533" spans="1:10" ht="13.5" thickBot="1" x14ac:dyDescent="0.25">
      <c r="A65533" s="46" t="s">
        <v>46</v>
      </c>
      <c r="B65533" s="24">
        <v>2.4170000000000001E-2</v>
      </c>
      <c r="C65533" s="52">
        <v>113.3</v>
      </c>
      <c r="D65533" s="1">
        <v>0.14000000000000001</v>
      </c>
      <c r="E65533" s="94">
        <v>0.8</v>
      </c>
      <c r="F65533" s="101">
        <v>46450</v>
      </c>
      <c r="G65533" s="101">
        <v>53050</v>
      </c>
      <c r="H65533" s="101">
        <v>59700</v>
      </c>
      <c r="I65533" s="101">
        <v>66300</v>
      </c>
      <c r="J65533" s="1">
        <v>0</v>
      </c>
    </row>
    <row r="65534" spans="1:10" ht="13.5" thickBot="1" x14ac:dyDescent="0.25">
      <c r="A65534" s="44" t="s">
        <v>47</v>
      </c>
      <c r="B65534" s="24">
        <v>2.257E-2</v>
      </c>
      <c r="C65534" s="52">
        <v>108.42</v>
      </c>
      <c r="D65534" s="1">
        <v>0</v>
      </c>
      <c r="E65534" s="94">
        <v>1</v>
      </c>
      <c r="F65534" s="101">
        <v>58050</v>
      </c>
      <c r="G65534" s="101">
        <v>66300</v>
      </c>
      <c r="H65534" s="101">
        <v>74600</v>
      </c>
      <c r="I65534" s="101">
        <v>82900</v>
      </c>
      <c r="J65534" s="1">
        <v>0</v>
      </c>
    </row>
    <row r="65535" spans="1:10" ht="13.5" thickBot="1" x14ac:dyDescent="0.25">
      <c r="A65535" s="44" t="s">
        <v>45</v>
      </c>
      <c r="B65535" s="110">
        <v>1.12E-2</v>
      </c>
      <c r="C65535" s="52">
        <v>117.11</v>
      </c>
      <c r="D65535" s="1">
        <v>0</v>
      </c>
      <c r="E65535" s="94">
        <v>1.1499999999999999</v>
      </c>
      <c r="F65535" s="101">
        <v>66750</v>
      </c>
      <c r="G65535" s="101">
        <v>76300</v>
      </c>
      <c r="H65535" s="101">
        <v>85800</v>
      </c>
      <c r="I65535" s="101">
        <v>95350</v>
      </c>
      <c r="J65535" s="1">
        <v>0</v>
      </c>
    </row>
    <row r="65536" spans="1:10" ht="13.5" thickBot="1" x14ac:dyDescent="0.25">
      <c r="A65536" s="46" t="s">
        <v>48</v>
      </c>
      <c r="B65536" s="24">
        <v>2.4080000000000001E-2</v>
      </c>
      <c r="C65536" s="52">
        <v>112.46</v>
      </c>
      <c r="D65536" s="1">
        <v>0.25</v>
      </c>
      <c r="E65536" s="94">
        <v>1.2</v>
      </c>
      <c r="F65536" s="101">
        <v>69650</v>
      </c>
      <c r="G65536" s="101">
        <v>79600</v>
      </c>
      <c r="H65536" s="101">
        <v>89550</v>
      </c>
      <c r="I65536" s="101">
        <v>99500</v>
      </c>
      <c r="J65536" s="1">
        <v>0</v>
      </c>
    </row>
  </sheetData>
  <sheetProtection password="C382" sheet="1" selectLockedCells="1"/>
  <mergeCells count="9">
    <mergeCell ref="E16:H16"/>
    <mergeCell ref="A23:H26"/>
    <mergeCell ref="E1:I1"/>
    <mergeCell ref="M2:N2"/>
    <mergeCell ref="M3:N3"/>
    <mergeCell ref="A1:A2"/>
    <mergeCell ref="B1:B3"/>
    <mergeCell ref="K2:L2"/>
    <mergeCell ref="K3:L3"/>
  </mergeCells>
  <phoneticPr fontId="2" type="noConversion"/>
  <dataValidations xWindow="606" yWindow="471" count="5">
    <dataValidation allowBlank="1" showErrorMessage="1" promptTitle="Market-Rate Value" prompt="Use this field unless municipality has provided written evidence that the unit will be taxed at its affordable price." sqref="C7" xr:uid="{00000000-0002-0000-0000-000000000000}"/>
    <dataValidation type="whole" operator="lessThanOrEqual" allowBlank="1" showInputMessage="1" showErrorMessage="1" sqref="B4" xr:uid="{00000000-0002-0000-0000-000001000000}">
      <formula1>9242</formula1>
    </dataValidation>
    <dataValidation type="list" allowBlank="1" showErrorMessage="1" promptTitle="Municipality" prompt="Select a municipality here." sqref="A1:A2" xr:uid="{00000000-0002-0000-0000-000002000000}">
      <formula1>$A$65498:$A$65536</formula1>
    </dataValidation>
    <dataValidation type="whole" operator="equal" allowBlank="1" showInputMessage="1" showErrorMessage="1" sqref="B10" xr:uid="{00000000-0002-0000-0000-000003000000}">
      <formula1>30</formula1>
    </dataValidation>
    <dataValidation type="decimal" allowBlank="1" showInputMessage="1" showErrorMessage="1" sqref="B16" xr:uid="{00000000-0002-0000-0000-000004000000}">
      <formula1>0</formula1>
      <formula2>0.05</formula2>
    </dataValidation>
  </dataValidations>
  <hyperlinks>
    <hyperlink ref="E16" r:id="rId1" display="Freddie Mac's Primary Mortgage Market Survey" xr:uid="{00000000-0004-0000-0000-000000000000}"/>
    <hyperlink ref="E16:H16" r:id="rId2" display="Freddie Mac's Primary Mortgage Market Survey--30 yr Avg Rate" xr:uid="{00000000-0004-0000-0000-000001000000}"/>
  </hyperlinks>
  <printOptions horizontalCentered="1" verticalCentered="1"/>
  <pageMargins left="0.75" right="0.75" top="1" bottom="1" header="0.5" footer="0.5"/>
  <pageSetup paperSize="5" scale="76" orientation="landscape" r:id="rId3"/>
  <headerFooter alignWithMargins="0">
    <oddHeader>&amp;C&amp;"Arial Narrow,Bold"Rhode Island Housing Low- and Moderate-Income Housing Purchase Price Calculator</oddHeader>
    <oddFooter>&amp;CPurchase Price as of &amp;D</oddFooter>
  </headerFooter>
  <cellWatches>
    <cellWatch r="C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RI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Neirinckx</dc:creator>
  <cp:lastModifiedBy>Alison Neirinckx</cp:lastModifiedBy>
  <cp:lastPrinted>2014-12-30T13:57:14Z</cp:lastPrinted>
  <dcterms:created xsi:type="dcterms:W3CDTF">2005-12-14T20:04:53Z</dcterms:created>
  <dcterms:modified xsi:type="dcterms:W3CDTF">2019-09-26T12:10:35Z</dcterms:modified>
</cp:coreProperties>
</file>