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Y2018 Competition\"/>
    </mc:Choice>
  </mc:AlternateContent>
  <xr:revisionPtr revIDLastSave="0" documentId="8_{2DD0C8A7-27CD-44C7-9EAD-30EB14295C0E}" xr6:coauthVersionLast="31" xr6:coauthVersionMax="31" xr10:uidLastSave="{00000000-0000-0000-0000-000000000000}"/>
  <bookViews>
    <workbookView xWindow="0" yWindow="0" windowWidth="28800" windowHeight="12225" tabRatio="544" xr2:uid="{00000000-000D-0000-FFFF-FFFF00000000}"/>
  </bookViews>
  <sheets>
    <sheet name="Renewal Scoring Detail" sheetId="4" r:id="rId1"/>
    <sheet name="-" sheetId="5" r:id="rId2"/>
    <sheet name="Sheet2" sheetId="2" state="hidden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" i="4" l="1"/>
  <c r="AE4" i="4"/>
  <c r="AJ30" i="4" l="1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E9" i="4"/>
  <c r="AE8" i="4"/>
  <c r="AE7" i="4"/>
  <c r="AE6" i="4"/>
  <c r="AE5" i="4"/>
  <c r="AE30" i="4"/>
  <c r="AJ4" i="4"/>
  <c r="AJ5" i="4" l="1"/>
  <c r="AJ6" i="4"/>
  <c r="AJ7" i="4"/>
  <c r="AJ8" i="4"/>
  <c r="AJ9" i="4"/>
  <c r="AJ10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C21" i="2" l="1"/>
  <c r="A7" i="2"/>
</calcChain>
</file>

<file path=xl/sharedStrings.xml><?xml version="1.0" encoding="utf-8"?>
<sst xmlns="http://schemas.openxmlformats.org/spreadsheetml/2006/main" count="409" uniqueCount="159">
  <si>
    <t>Applicant Name</t>
  </si>
  <si>
    <t>Project Name</t>
  </si>
  <si>
    <t>Amos House</t>
  </si>
  <si>
    <t>414 Friendship Street 2017</t>
  </si>
  <si>
    <t>RI0002L1T001710</t>
  </si>
  <si>
    <t>PH</t>
  </si>
  <si>
    <t>70 Linwood Apartments 2017</t>
  </si>
  <si>
    <t>RI0003L1T001710</t>
  </si>
  <si>
    <t>Amos House Swan Street 2017</t>
  </si>
  <si>
    <t>RI0005L1T001710</t>
  </si>
  <si>
    <t>Community Care Alliance</t>
  </si>
  <si>
    <t>Constitution Hill Supportive Housing Program 2017</t>
  </si>
  <si>
    <t>RI0006L1T001710</t>
  </si>
  <si>
    <t>Westbay Community Action</t>
  </si>
  <si>
    <t>East, Earl, &amp; Warwick Avenue 2017</t>
  </si>
  <si>
    <t>RI0011L1T001710</t>
  </si>
  <si>
    <t>Fran Conway-Winter 2017</t>
  </si>
  <si>
    <t>RI0014L1T001710</t>
  </si>
  <si>
    <t>Haswill 2017</t>
  </si>
  <si>
    <t>RI0018L1T001710</t>
  </si>
  <si>
    <t>West Warwick</t>
  </si>
  <si>
    <t>RI0026L1T001710</t>
  </si>
  <si>
    <t>Permanent Housing for Disabled Adults 2017</t>
  </si>
  <si>
    <t>RI0027L1T001710</t>
  </si>
  <si>
    <t>Permanent Housing for Disabled Elders 2017</t>
  </si>
  <si>
    <t>RI0028L1T001710</t>
  </si>
  <si>
    <t>Rhode Island Family Shelter 2017</t>
  </si>
  <si>
    <t>RI0030L1T001710</t>
  </si>
  <si>
    <t>S+C Renewal 2017</t>
  </si>
  <si>
    <t>RI0031L1T001710</t>
  </si>
  <si>
    <t>Sarah Frances Grant Homestead</t>
  </si>
  <si>
    <t>RI0036L1T001710</t>
  </si>
  <si>
    <t>Travelers Aid Housing 2017</t>
  </si>
  <si>
    <t>RI0040L1T001710</t>
  </si>
  <si>
    <t>Travelers Aid of Rhode Island 2017</t>
  </si>
  <si>
    <t>RI0041L1T001710</t>
  </si>
  <si>
    <t>Burnside Ave. Permanent Supportive Housing 2017</t>
  </si>
  <si>
    <t>RI0049L1T001703</t>
  </si>
  <si>
    <t>2010 S+C Project 2017</t>
  </si>
  <si>
    <t>RI0053L1T001702</t>
  </si>
  <si>
    <t>Tremont Street 2017</t>
  </si>
  <si>
    <t>RI0056L1T001701</t>
  </si>
  <si>
    <t>Access to Home 2017</t>
  </si>
  <si>
    <t>RI0064L1T001704</t>
  </si>
  <si>
    <t>Crossroads Rapid Re-Housing Project for Families-2017</t>
  </si>
  <si>
    <t>RI0065L1T001704</t>
  </si>
  <si>
    <t>Rhode Island Housing Permanent Supportive Housing Project 2017</t>
  </si>
  <si>
    <t>RI0068L1T001703</t>
  </si>
  <si>
    <t>Coming Home Permanent Supportive Housing Project 2017</t>
  </si>
  <si>
    <t>RI0070L1T001703</t>
  </si>
  <si>
    <t>RI0075L1T001500</t>
  </si>
  <si>
    <t>Fair Street 2017</t>
  </si>
  <si>
    <t>RI0076L1T001710</t>
  </si>
  <si>
    <t>Rapid ReHousing of Northern Rhode Island 2017</t>
  </si>
  <si>
    <t>RI0078L1T001702</t>
  </si>
  <si>
    <t>TPC 2015 Home Base 2016</t>
  </si>
  <si>
    <t>RI0079L1T001601</t>
  </si>
  <si>
    <t>Sojourner House</t>
  </si>
  <si>
    <t>Sojourner House Rapid Re-Housing</t>
  </si>
  <si>
    <t>RI0081L1T001701</t>
  </si>
  <si>
    <t>Rhode Island Housing Rental Assistance</t>
  </si>
  <si>
    <t>RI0083L1T001701</t>
  </si>
  <si>
    <t>Crossroads RI Family PSH 2017</t>
  </si>
  <si>
    <t>RI0084L1T001701</t>
  </si>
  <si>
    <t>East Bay Coalition for the Homeless Permanent Housing</t>
  </si>
  <si>
    <t>RI0086L1T001700</t>
  </si>
  <si>
    <t>Foster Forward</t>
  </si>
  <si>
    <t>Rapid Rehousing for Former Foster Youth</t>
  </si>
  <si>
    <t>RI0087L1T001700</t>
  </si>
  <si>
    <t>Greater Westerly Supportive Housing Expansion Project 2017</t>
  </si>
  <si>
    <t>RI0088L1T001700</t>
  </si>
  <si>
    <t>Rapid Re-Housing of Northern Rhode Island (Youth Project) 2017</t>
  </si>
  <si>
    <t>RI0089L1T001700</t>
  </si>
  <si>
    <t>Pawtucket Housing Authority’s Rapid Rehousing Project</t>
  </si>
  <si>
    <t>RI0090L1T001700</t>
  </si>
  <si>
    <t>Lucy's Hearth</t>
  </si>
  <si>
    <t>Lucy's Hearth Housing Program</t>
  </si>
  <si>
    <t>RI0091L1T001700</t>
  </si>
  <si>
    <t>Start Date</t>
  </si>
  <si>
    <t>NEW</t>
  </si>
  <si>
    <t>Renewing Grant Number</t>
  </si>
  <si>
    <t xml:space="preserve">Project Component                                                                                                                                                                                                                                              </t>
  </si>
  <si>
    <t>Report Date</t>
  </si>
  <si>
    <t>12/1/16-11/30/17</t>
  </si>
  <si>
    <t>2/1/17-1/31/18</t>
  </si>
  <si>
    <t>3/1/17-2/28/18</t>
  </si>
  <si>
    <t>4/1/17-3/30/18</t>
  </si>
  <si>
    <t>5/1/17-4/30/18</t>
  </si>
  <si>
    <t>9/1/16-8/31/17</t>
  </si>
  <si>
    <t>10/1/16-9/30/17</t>
  </si>
  <si>
    <t>11/1/16-10/31/17</t>
  </si>
  <si>
    <t>1. Occupancy/Utilization (Average of 4 reported PIT counts)</t>
  </si>
  <si>
    <t>3. Average VISPDAT score for households admitted during the program year.</t>
  </si>
  <si>
    <t>Performance total score</t>
  </si>
  <si>
    <t>Renweal RI-CoC 2018 Projects - SysPM  Scoring from HMIS</t>
  </si>
  <si>
    <t>HMIS RI-CoC Project Descriptor Elements</t>
  </si>
  <si>
    <t>1803/1847</t>
  </si>
  <si>
    <t>1407/1465</t>
  </si>
  <si>
    <t>No Exits</t>
  </si>
  <si>
    <t>1805/1818</t>
  </si>
  <si>
    <t>6a. Percentage of all participant leavers who exited to shelter, streets or unknown within first 90 days</t>
  </si>
  <si>
    <t>6b. Percentage of all participant leavers who exited to to shelter, streets or unknown after at least 90 days in program</t>
  </si>
  <si>
    <t>7. Spending of last year's COC grant</t>
  </si>
  <si>
    <t>8. Percentage of all leavers who exited to permanent destinations after more than 90 days</t>
  </si>
  <si>
    <t xml:space="preserve"> Not Scored this Year</t>
  </si>
  <si>
    <t>10. Prompt resolution of FY15 RICOC Monitoring findings</t>
  </si>
  <si>
    <t>11 . HMIS Universal Data Elements null/unknown</t>
  </si>
  <si>
    <t>Mike Terry Apartments (Formerly Whitmarsh House)</t>
  </si>
  <si>
    <t>Bin (Multiple HMIS Bins if split between the same grant.)</t>
  </si>
  <si>
    <t>No Exits in 1st 90 days</t>
  </si>
  <si>
    <t>No Exits after 90 days</t>
  </si>
  <si>
    <t>RENEWAL 2018 RI-CoC SysPM Scoring from HMIS</t>
  </si>
  <si>
    <t>1456/1850</t>
  </si>
  <si>
    <t>No New Admitted</t>
  </si>
  <si>
    <t>1473 / 1393</t>
  </si>
  <si>
    <t>1859 / 1860</t>
  </si>
  <si>
    <t>NOT IN HMIS</t>
  </si>
  <si>
    <t>1651 (Crossroads Reported Start Date was 2/1/18 - their bin # is now 1893 - data for NOFA is from Pawt/CF Develoopment Coorporation)</t>
  </si>
  <si>
    <t>2. Participants are assessed using the VISPDAT prior to program admission for households admitted during the program year. (Percent of Participants)</t>
  </si>
  <si>
    <t>No Exts</t>
  </si>
  <si>
    <t>8/1/17-7/31/18</t>
  </si>
  <si>
    <t>272 Days</t>
  </si>
  <si>
    <t>N/A</t>
  </si>
  <si>
    <t>158 Days</t>
  </si>
  <si>
    <t>1498/1545/1504/1508/1502/1720/1493/1653/1424/1499/1546/1656/ 1780/ 1779/ 1777/  1773/ 1812/ 1802</t>
  </si>
  <si>
    <t>9a. RRH Only - Average length of program enrollment Not Scored this Year</t>
  </si>
  <si>
    <t>9b. PSH Only - Percentage of participants referred to mainstream affordable housing resources (ie: HCVP, Move-Up initiative, PH, Multifamily) Not Scored this Year</t>
  </si>
  <si>
    <t>1851 - RRH</t>
  </si>
  <si>
    <t>1793 - RRH</t>
  </si>
  <si>
    <t>FULL SPDAT SCORE FROM DVP = 56</t>
  </si>
  <si>
    <t>Crossroads RI</t>
  </si>
  <si>
    <t>RIHousing</t>
  </si>
  <si>
    <t>Housing Authority of the City of Pawtucket</t>
  </si>
  <si>
    <t>WARM</t>
  </si>
  <si>
    <t>East Bay CAP</t>
  </si>
  <si>
    <t xml:space="preserve">House of Hope </t>
  </si>
  <si>
    <t>House of Hope</t>
  </si>
  <si>
    <t>YWCA RI</t>
  </si>
  <si>
    <t>Operation Stand Down RI</t>
  </si>
  <si>
    <t>score2</t>
  </si>
  <si>
    <t>score3</t>
  </si>
  <si>
    <t>score7</t>
  </si>
  <si>
    <t>score8</t>
  </si>
  <si>
    <t>score1</t>
  </si>
  <si>
    <t>score6a</t>
  </si>
  <si>
    <t>score6b</t>
  </si>
  <si>
    <t>score9a</t>
  </si>
  <si>
    <t>score9b</t>
  </si>
  <si>
    <t>score10</t>
  </si>
  <si>
    <t>score11</t>
  </si>
  <si>
    <t>score12</t>
  </si>
  <si>
    <t>n/a</t>
  </si>
  <si>
    <t>yes</t>
  </si>
  <si>
    <t>no</t>
  </si>
  <si>
    <t>n/a - ext</t>
  </si>
  <si>
    <t xml:space="preserve">PH Total Participants Served </t>
  </si>
  <si>
    <t>PH Total Participants REMAINING in OR EXITING TO PH</t>
  </si>
  <si>
    <t>PH Programs: Percentage of all stayers and leavers who remain in PH or exited to PH</t>
  </si>
  <si>
    <t>12. Cost/Permanent Housing retention and/or PH Placement (total project budget/Number of all participants who remain in PH and exited to 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</si>
</sst>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0" xfId="0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4" fontId="5" fillId="2" borderId="0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5" fillId="2" borderId="0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9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9" fontId="5" fillId="0" borderId="0" xfId="0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4" fontId="5" fillId="2" borderId="0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5" fillId="2" borderId="0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37"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0000FF"/>
      <color rgb="FFCFC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C50CC76-A44E-6C4E-8FC8-D0E59C0E6199}" name="Table3" displayName="Table3" ref="B3:AJ38" totalsRowShown="0" headerRowDxfId="36" dataDxfId="35">
  <autoFilter ref="B3:AJ38" xr:uid="{F2559EAF-B447-994C-9B04-732C2B120A74}"/>
  <sortState ref="B4:AJ38">
    <sortCondition ref="D3:D38"/>
  </sortState>
  <tableColumns count="35">
    <tableColumn id="1" xr3:uid="{DFFC0256-1421-8D48-BC42-55A74BF83864}" name="Applicant Name" dataDxfId="34"/>
    <tableColumn id="2" xr3:uid="{4783C8CA-95DC-0A4E-8D7E-E39C46B43B71}" name="Project Name" dataDxfId="33"/>
    <tableColumn id="3" xr3:uid="{6B16206D-5588-114F-ACF4-41CE0D4620D4}" name="Renewing Grant Number" dataDxfId="32"/>
    <tableColumn id="4" xr3:uid="{4E44C37B-AD4C-9347-AC12-BD8F04EE46C2}" name="Project Component                                                                                                                                                                                                                                              " dataDxfId="31"/>
    <tableColumn id="5" xr3:uid="{2E0B575D-2AAB-504D-BFCE-E8D0756417FF}" name="Start Date" dataDxfId="30"/>
    <tableColumn id="6" xr3:uid="{CFF3D0B1-A949-4A4B-9E50-FA29C721016A}" name="Report Date" dataDxfId="29"/>
    <tableColumn id="7" xr3:uid="{BD176672-D7F1-724E-A24A-DF971A1D5D1C}" name="Bin (Multiple HMIS Bins if split between the same grant.)" dataDxfId="28"/>
    <tableColumn id="8" xr3:uid="{B1CF1BD2-3428-A54A-BCD5-B88BC4BE44F1}" name="1. Occupancy/Utilization (Average of 4 reported PIT counts)" dataDxfId="27"/>
    <tableColumn id="22" xr3:uid="{C7233B0F-6D0B-4825-9178-4CB0CEAB3979}" name="score1" dataDxfId="26"/>
    <tableColumn id="9" xr3:uid="{74CCDC6E-5AF1-0749-8F28-F1CDEA2078F1}" name="2. Participants are assessed using the VISPDAT prior to program admission for households admitted during the program year. (Percent of Participants)" dataDxfId="25"/>
    <tableColumn id="23" xr3:uid="{BC5E81BB-C79C-4398-A466-9FD5918890FC}" name="score2" dataDxfId="24"/>
    <tableColumn id="10" xr3:uid="{36E23063-7502-754C-B914-8919851CF985}" name="3. Average VISPDAT score for households admitted during the program year." dataDxfId="23"/>
    <tableColumn id="24" xr3:uid="{91D340F4-97A6-48CE-9CE0-94CD1A96701F}" name="score3" dataDxfId="22"/>
    <tableColumn id="11" xr3:uid="{8D393504-A510-444D-8C3D-06CF7451710E}" name="6a. Percentage of all participant leavers who exited to shelter, streets or unknown within first 90 days" dataDxfId="21"/>
    <tableColumn id="25" xr3:uid="{B08D395E-94F9-42CF-8B87-D91BB9F876DB}" name="score6a" dataDxfId="20"/>
    <tableColumn id="12" xr3:uid="{4459E8FD-B3AA-654E-882E-31CB58DCCBC7}" name="6b. Percentage of all participant leavers who exited to to shelter, streets or unknown after at least 90 days in program" dataDxfId="19"/>
    <tableColumn id="26" xr3:uid="{A0D05310-1297-4A36-B6E4-68168DEA61E6}" name="score6b" dataDxfId="18"/>
    <tableColumn id="13" xr3:uid="{474A9F94-D115-A44B-A95A-7967BBA92CDE}" name="7. Spending of last year's COC grant" dataDxfId="17"/>
    <tableColumn id="27" xr3:uid="{772DB0C6-AF45-4D60-A2E5-1D801EFCE897}" name="score7" dataDxfId="16"/>
    <tableColumn id="14" xr3:uid="{8069B0B7-A9BD-3F4A-A001-D37D0783E204}" name="8. Percentage of all leavers who exited to permanent destinations after more than 90 days" dataDxfId="15"/>
    <tableColumn id="28" xr3:uid="{5AA2F9CA-786D-4532-8EFE-23A2BF854243}" name="score8" dataDxfId="14"/>
    <tableColumn id="15" xr3:uid="{453DB37B-0E0D-FE4B-9AA3-EFD4CD43F6E1}" name="9a. RRH Only - Average length of program enrollment Not Scored this Year" dataDxfId="13"/>
    <tableColumn id="29" xr3:uid="{F85B9281-ED1C-47EE-AD25-2515040F3DE7}" name="score9a" dataDxfId="12"/>
    <tableColumn id="16" xr3:uid="{D22E333F-B5AE-A94E-B697-9F58C55F8372}" name="9b. PSH Only - Percentage of participants referred to mainstream affordable housing resources (ie: HCVP, Move-Up initiative, PH, Multifamily) Not Scored this Year" dataDxfId="11"/>
    <tableColumn id="30" xr3:uid="{7C1BFEA0-D783-4437-A857-AE665B6D83E3}" name="score9b" dataDxfId="10"/>
    <tableColumn id="17" xr3:uid="{FC1041D7-CF27-514A-B7DA-0534E8A41277}" name="10. Prompt resolution of FY15 RICOC Monitoring findings" dataDxfId="9"/>
    <tableColumn id="31" xr3:uid="{14BB1071-AFE0-4425-9C00-1A642455E54B}" name="score10" dataDxfId="8"/>
    <tableColumn id="18" xr3:uid="{6BE054AB-536B-9744-8AB7-E157D5321769}" name="11 . HMIS Universal Data Elements null/unknown" dataDxfId="7"/>
    <tableColumn id="34" xr3:uid="{C1543666-E016-4EAF-A2F7-EF530C9D40C6}" name="score11" dataDxfId="6"/>
    <tableColumn id="19" xr3:uid="{394B19CC-CAF7-B24A-BB90-F9115469FE50}" name="12. Cost/Permanent Housing retention and/or PH Placement (total project budget/Number of all participants who remain in PH and exited to PH)" dataDxfId="5"/>
    <tableColumn id="35" xr3:uid="{BB9667E5-DFF4-4BE3-9302-F96A7E579274}" name="score12" dataDxfId="4"/>
    <tableColumn id="36" xr3:uid="{1FB754AA-8001-46E2-BC3E-963358405719}" name="PH Total Participants Served " dataDxfId="3"/>
    <tableColumn id="37" xr3:uid="{D7CA4BA3-7503-4698-9BAE-E307D17BA0F5}" name="PH Total Participants REMAINING in OR EXITING TO PH" dataDxfId="2"/>
    <tableColumn id="33" xr3:uid="{A2DC67E8-0E13-4A18-97C1-06F996A99C95}" name="PH Programs: Percentage of all stayers and leavers who remain in PH or exited to PH" dataDxfId="1"/>
    <tableColumn id="21" xr3:uid="{B04649A4-EB20-ED49-8AC3-8D242BCD0465}" name="Performance total score" dataDxfId="0">
      <calculatedColumnFormula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6CFFC-3C7B-494F-B23E-150B588A3B57}">
  <sheetPr>
    <pageSetUpPr fitToPage="1"/>
  </sheetPr>
  <dimension ref="B1:AJ38"/>
  <sheetViews>
    <sheetView tabSelected="1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G32" sqref="G32"/>
    </sheetView>
  </sheetViews>
  <sheetFormatPr defaultColWidth="10.85546875" defaultRowHeight="15" x14ac:dyDescent="0.25"/>
  <cols>
    <col min="1" max="1" width="2.7109375" style="4" customWidth="1"/>
    <col min="2" max="2" width="20" style="4" customWidth="1"/>
    <col min="3" max="3" width="17.42578125" style="4" customWidth="1"/>
    <col min="4" max="4" width="21.7109375" style="4" customWidth="1"/>
    <col min="5" max="5" width="17" style="4" customWidth="1"/>
    <col min="6" max="6" width="10.85546875" style="4"/>
    <col min="7" max="7" width="20.42578125" style="4" customWidth="1"/>
    <col min="8" max="8" width="20.140625" style="4" customWidth="1"/>
    <col min="9" max="10" width="17.85546875" style="4" customWidth="1"/>
    <col min="11" max="12" width="19.7109375" style="4" customWidth="1"/>
    <col min="13" max="14" width="19.85546875" style="4" customWidth="1"/>
    <col min="15" max="16" width="14" style="4" customWidth="1"/>
    <col min="17" max="18" width="14.140625" style="4" customWidth="1"/>
    <col min="19" max="20" width="8.42578125" style="4" customWidth="1"/>
    <col min="21" max="22" width="16.7109375" style="4" customWidth="1"/>
    <col min="23" max="24" width="10.85546875" style="4" customWidth="1"/>
    <col min="25" max="26" width="17" style="4" customWidth="1"/>
    <col min="27" max="28" width="9.28515625" style="4" customWidth="1"/>
    <col min="29" max="30" width="12.85546875" style="4" customWidth="1"/>
    <col min="31" max="35" width="18.140625" style="4" customWidth="1"/>
    <col min="36" max="36" width="14.140625" style="4" customWidth="1"/>
    <col min="37" max="16384" width="10.85546875" style="4"/>
  </cols>
  <sheetData>
    <row r="1" spans="2:36" ht="45" customHeight="1" thickBot="1" x14ac:dyDescent="0.3">
      <c r="B1" s="42" t="s">
        <v>111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</row>
    <row r="2" spans="2:36" ht="60" customHeight="1" x14ac:dyDescent="0.25">
      <c r="B2" s="43" t="s">
        <v>95</v>
      </c>
      <c r="C2" s="44"/>
      <c r="D2" s="44"/>
      <c r="E2" s="44"/>
      <c r="F2" s="44"/>
      <c r="G2" s="44"/>
      <c r="H2" s="44" t="s">
        <v>94</v>
      </c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5"/>
    </row>
    <row r="3" spans="2:36" s="9" customFormat="1" ht="204.75" x14ac:dyDescent="0.25">
      <c r="B3" s="6" t="s">
        <v>0</v>
      </c>
      <c r="C3" s="7" t="s">
        <v>1</v>
      </c>
      <c r="D3" s="7" t="s">
        <v>80</v>
      </c>
      <c r="E3" s="7" t="s">
        <v>81</v>
      </c>
      <c r="F3" s="7" t="s">
        <v>78</v>
      </c>
      <c r="G3" s="7" t="s">
        <v>82</v>
      </c>
      <c r="H3" s="7" t="s">
        <v>108</v>
      </c>
      <c r="I3" s="7" t="s">
        <v>91</v>
      </c>
      <c r="J3" s="7" t="s">
        <v>143</v>
      </c>
      <c r="K3" s="7" t="s">
        <v>118</v>
      </c>
      <c r="L3" s="7" t="s">
        <v>139</v>
      </c>
      <c r="M3" s="7" t="s">
        <v>92</v>
      </c>
      <c r="N3" s="7" t="s">
        <v>140</v>
      </c>
      <c r="O3" s="7" t="s">
        <v>100</v>
      </c>
      <c r="P3" s="7" t="s">
        <v>144</v>
      </c>
      <c r="Q3" s="7" t="s">
        <v>101</v>
      </c>
      <c r="R3" s="7" t="s">
        <v>145</v>
      </c>
      <c r="S3" s="7" t="s">
        <v>102</v>
      </c>
      <c r="T3" s="7" t="s">
        <v>141</v>
      </c>
      <c r="U3" s="7" t="s">
        <v>103</v>
      </c>
      <c r="V3" s="7" t="s">
        <v>142</v>
      </c>
      <c r="W3" s="7" t="s">
        <v>125</v>
      </c>
      <c r="X3" s="7" t="s">
        <v>146</v>
      </c>
      <c r="Y3" s="7" t="s">
        <v>126</v>
      </c>
      <c r="Z3" s="7" t="s">
        <v>147</v>
      </c>
      <c r="AA3" s="7" t="s">
        <v>105</v>
      </c>
      <c r="AB3" s="7" t="s">
        <v>148</v>
      </c>
      <c r="AC3" s="7" t="s">
        <v>106</v>
      </c>
      <c r="AD3" s="7" t="s">
        <v>149</v>
      </c>
      <c r="AE3" s="7" t="s">
        <v>158</v>
      </c>
      <c r="AF3" s="7" t="s">
        <v>150</v>
      </c>
      <c r="AG3" s="32" t="s">
        <v>155</v>
      </c>
      <c r="AH3" s="32" t="s">
        <v>156</v>
      </c>
      <c r="AI3" s="32" t="s">
        <v>157</v>
      </c>
      <c r="AJ3" s="8" t="s">
        <v>93</v>
      </c>
    </row>
    <row r="4" spans="2:36" s="5" customFormat="1" ht="31.5" x14ac:dyDescent="0.25">
      <c r="B4" s="10" t="s">
        <v>2</v>
      </c>
      <c r="C4" s="11" t="s">
        <v>3</v>
      </c>
      <c r="D4" s="11" t="s">
        <v>4</v>
      </c>
      <c r="E4" s="11" t="s">
        <v>5</v>
      </c>
      <c r="F4" s="12">
        <v>43313</v>
      </c>
      <c r="G4" s="11" t="s">
        <v>120</v>
      </c>
      <c r="H4" s="11">
        <v>1484</v>
      </c>
      <c r="I4" s="14">
        <v>0.91</v>
      </c>
      <c r="J4" s="25">
        <v>10</v>
      </c>
      <c r="K4" s="14">
        <v>1</v>
      </c>
      <c r="L4" s="25">
        <v>10</v>
      </c>
      <c r="M4" s="11">
        <v>10</v>
      </c>
      <c r="N4" s="11">
        <v>5</v>
      </c>
      <c r="O4" s="29">
        <v>0.25</v>
      </c>
      <c r="P4" s="11">
        <v>0</v>
      </c>
      <c r="Q4" s="14">
        <v>0</v>
      </c>
      <c r="R4" s="25">
        <v>15</v>
      </c>
      <c r="S4" s="30">
        <v>0.86</v>
      </c>
      <c r="T4" s="41">
        <v>0</v>
      </c>
      <c r="U4" s="14">
        <v>1</v>
      </c>
      <c r="V4" s="25">
        <v>10</v>
      </c>
      <c r="W4" s="11" t="s">
        <v>122</v>
      </c>
      <c r="X4" s="11" t="s">
        <v>151</v>
      </c>
      <c r="Y4" s="11" t="s">
        <v>104</v>
      </c>
      <c r="Z4" s="11" t="s">
        <v>151</v>
      </c>
      <c r="AA4" s="11" t="s">
        <v>152</v>
      </c>
      <c r="AB4" s="11">
        <v>10</v>
      </c>
      <c r="AC4" s="14">
        <v>0</v>
      </c>
      <c r="AD4" s="25">
        <v>5</v>
      </c>
      <c r="AE4" s="31">
        <f>63380/Table3[[#This Row],[PH Total Participants REMAINING in OR EXITING TO PH]]</f>
        <v>5281.666666666667</v>
      </c>
      <c r="AF4" s="11">
        <v>10</v>
      </c>
      <c r="AG4" s="33">
        <v>13</v>
      </c>
      <c r="AH4" s="33">
        <v>12</v>
      </c>
      <c r="AI4" s="34">
        <v>0.92</v>
      </c>
      <c r="AJ4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75</v>
      </c>
    </row>
    <row r="5" spans="2:36" s="5" customFormat="1" ht="31.5" x14ac:dyDescent="0.25">
      <c r="B5" s="10" t="s">
        <v>130</v>
      </c>
      <c r="C5" s="11" t="s">
        <v>6</v>
      </c>
      <c r="D5" s="11" t="s">
        <v>7</v>
      </c>
      <c r="E5" s="11" t="s">
        <v>5</v>
      </c>
      <c r="F5" s="12">
        <v>43344</v>
      </c>
      <c r="G5" s="11" t="s">
        <v>88</v>
      </c>
      <c r="H5" s="11">
        <v>1883</v>
      </c>
      <c r="I5" s="14">
        <v>0.91</v>
      </c>
      <c r="J5" s="25">
        <v>10</v>
      </c>
      <c r="K5" s="14">
        <v>1</v>
      </c>
      <c r="L5" s="25">
        <v>10</v>
      </c>
      <c r="M5" s="11">
        <v>7</v>
      </c>
      <c r="N5" s="11">
        <v>0</v>
      </c>
      <c r="O5" s="11" t="s">
        <v>109</v>
      </c>
      <c r="P5" s="11">
        <v>10</v>
      </c>
      <c r="Q5" s="14">
        <v>0.44</v>
      </c>
      <c r="R5" s="25">
        <v>0</v>
      </c>
      <c r="S5" s="14">
        <v>0.88</v>
      </c>
      <c r="T5" s="11">
        <v>0</v>
      </c>
      <c r="U5" s="14">
        <v>0.44</v>
      </c>
      <c r="V5" s="25">
        <v>0</v>
      </c>
      <c r="W5" s="11" t="s">
        <v>122</v>
      </c>
      <c r="X5" s="11" t="s">
        <v>151</v>
      </c>
      <c r="Y5" s="11" t="s">
        <v>104</v>
      </c>
      <c r="Z5" s="11" t="s">
        <v>151</v>
      </c>
      <c r="AA5" s="11" t="s">
        <v>152</v>
      </c>
      <c r="AB5" s="11">
        <v>10</v>
      </c>
      <c r="AC5" s="14">
        <v>0</v>
      </c>
      <c r="AD5" s="25">
        <v>5</v>
      </c>
      <c r="AE5" s="31">
        <f>179535/Table3[[#This Row],[PH Total Participants REMAINING in OR EXITING TO PH]]</f>
        <v>2679.626865671642</v>
      </c>
      <c r="AF5" s="11">
        <v>10</v>
      </c>
      <c r="AG5" s="33">
        <v>72</v>
      </c>
      <c r="AH5" s="33">
        <v>67</v>
      </c>
      <c r="AI5" s="34">
        <v>0.93</v>
      </c>
      <c r="AJ5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55</v>
      </c>
    </row>
    <row r="6" spans="2:36" s="5" customFormat="1" ht="31.5" x14ac:dyDescent="0.25">
      <c r="B6" s="10" t="s">
        <v>2</v>
      </c>
      <c r="C6" s="11" t="s">
        <v>8</v>
      </c>
      <c r="D6" s="11" t="s">
        <v>9</v>
      </c>
      <c r="E6" s="11" t="s">
        <v>5</v>
      </c>
      <c r="F6" s="12">
        <v>43435</v>
      </c>
      <c r="G6" s="11" t="s">
        <v>83</v>
      </c>
      <c r="H6" s="11">
        <v>1452</v>
      </c>
      <c r="I6" s="14">
        <v>0.94</v>
      </c>
      <c r="J6" s="25">
        <v>10</v>
      </c>
      <c r="K6" s="14">
        <v>1</v>
      </c>
      <c r="L6" s="25">
        <v>10</v>
      </c>
      <c r="M6" s="11">
        <v>11</v>
      </c>
      <c r="N6" s="11">
        <v>5</v>
      </c>
      <c r="O6" s="11">
        <v>0</v>
      </c>
      <c r="P6" s="11">
        <v>10</v>
      </c>
      <c r="Q6" s="11">
        <v>0</v>
      </c>
      <c r="R6" s="25">
        <v>15</v>
      </c>
      <c r="S6" s="14">
        <v>0.51</v>
      </c>
      <c r="T6" s="11">
        <v>0</v>
      </c>
      <c r="U6" s="14">
        <v>1</v>
      </c>
      <c r="V6" s="25">
        <v>10</v>
      </c>
      <c r="W6" s="11" t="s">
        <v>122</v>
      </c>
      <c r="X6" s="11" t="s">
        <v>151</v>
      </c>
      <c r="Y6" s="11" t="s">
        <v>104</v>
      </c>
      <c r="Z6" s="11" t="s">
        <v>151</v>
      </c>
      <c r="AA6" s="11" t="s">
        <v>152</v>
      </c>
      <c r="AB6" s="11">
        <v>10</v>
      </c>
      <c r="AC6" s="14">
        <v>0</v>
      </c>
      <c r="AD6" s="25">
        <v>5</v>
      </c>
      <c r="AE6" s="31">
        <f>47056/Table3[[#This Row],[PH Total Participants REMAINING in OR EXITING TO PH]]</f>
        <v>4277.818181818182</v>
      </c>
      <c r="AF6" s="11">
        <v>10</v>
      </c>
      <c r="AG6" s="33">
        <v>11</v>
      </c>
      <c r="AH6" s="33">
        <v>11</v>
      </c>
      <c r="AI6" s="34">
        <v>1</v>
      </c>
      <c r="AJ6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85</v>
      </c>
    </row>
    <row r="7" spans="2:36" s="5" customFormat="1" ht="63" x14ac:dyDescent="0.25">
      <c r="B7" s="10" t="s">
        <v>10</v>
      </c>
      <c r="C7" s="11" t="s">
        <v>11</v>
      </c>
      <c r="D7" s="11" t="s">
        <v>12</v>
      </c>
      <c r="E7" s="11" t="s">
        <v>5</v>
      </c>
      <c r="F7" s="12">
        <v>43160</v>
      </c>
      <c r="G7" s="11" t="s">
        <v>85</v>
      </c>
      <c r="H7" s="11">
        <v>1353</v>
      </c>
      <c r="I7" s="14">
        <v>0.95</v>
      </c>
      <c r="J7" s="25">
        <v>10</v>
      </c>
      <c r="K7" s="14" t="s">
        <v>113</v>
      </c>
      <c r="L7" s="25">
        <v>10</v>
      </c>
      <c r="M7" s="11" t="s">
        <v>113</v>
      </c>
      <c r="N7" s="11">
        <v>10</v>
      </c>
      <c r="O7" s="11" t="s">
        <v>109</v>
      </c>
      <c r="P7" s="11">
        <v>10</v>
      </c>
      <c r="Q7" s="14">
        <v>0</v>
      </c>
      <c r="R7" s="25">
        <v>15</v>
      </c>
      <c r="S7" s="14">
        <v>0.81</v>
      </c>
      <c r="T7" s="11">
        <v>0</v>
      </c>
      <c r="U7" s="14">
        <v>1</v>
      </c>
      <c r="V7" s="25">
        <v>10</v>
      </c>
      <c r="W7" s="11" t="s">
        <v>122</v>
      </c>
      <c r="X7" s="11" t="s">
        <v>151</v>
      </c>
      <c r="Y7" s="11" t="s">
        <v>104</v>
      </c>
      <c r="Z7" s="11" t="s">
        <v>151</v>
      </c>
      <c r="AA7" s="11" t="s">
        <v>153</v>
      </c>
      <c r="AB7" s="11">
        <v>0</v>
      </c>
      <c r="AC7" s="14">
        <v>0</v>
      </c>
      <c r="AD7" s="25">
        <v>5</v>
      </c>
      <c r="AE7" s="31">
        <f>135000/Table3[[#This Row],[PH Total Participants REMAINING in OR EXITING TO PH]]</f>
        <v>12272.727272727272</v>
      </c>
      <c r="AF7" s="11">
        <v>10</v>
      </c>
      <c r="AG7" s="33">
        <v>11</v>
      </c>
      <c r="AH7" s="33">
        <v>11</v>
      </c>
      <c r="AI7" s="34">
        <v>1</v>
      </c>
      <c r="AJ7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80</v>
      </c>
    </row>
    <row r="8" spans="2:36" s="5" customFormat="1" ht="47.25" x14ac:dyDescent="0.25">
      <c r="B8" s="10" t="s">
        <v>13</v>
      </c>
      <c r="C8" s="11" t="s">
        <v>14</v>
      </c>
      <c r="D8" s="11" t="s">
        <v>15</v>
      </c>
      <c r="E8" s="11" t="s">
        <v>5</v>
      </c>
      <c r="F8" s="12">
        <v>43313</v>
      </c>
      <c r="G8" s="11" t="s">
        <v>120</v>
      </c>
      <c r="H8" s="11">
        <v>1412</v>
      </c>
      <c r="I8" s="14">
        <v>0.39</v>
      </c>
      <c r="J8" s="25">
        <v>0</v>
      </c>
      <c r="K8" s="14" t="s">
        <v>113</v>
      </c>
      <c r="L8" s="25">
        <v>10</v>
      </c>
      <c r="M8" s="11" t="s">
        <v>113</v>
      </c>
      <c r="N8" s="11">
        <v>10</v>
      </c>
      <c r="O8" s="11" t="s">
        <v>98</v>
      </c>
      <c r="P8" s="11">
        <v>10</v>
      </c>
      <c r="Q8" s="14" t="s">
        <v>119</v>
      </c>
      <c r="R8" s="25">
        <v>15</v>
      </c>
      <c r="S8" s="14">
        <v>0.95</v>
      </c>
      <c r="T8" s="11">
        <v>8</v>
      </c>
      <c r="U8" s="14" t="s">
        <v>98</v>
      </c>
      <c r="V8" s="25">
        <v>10</v>
      </c>
      <c r="W8" s="11" t="s">
        <v>122</v>
      </c>
      <c r="X8" s="11" t="s">
        <v>151</v>
      </c>
      <c r="Y8" s="11" t="s">
        <v>104</v>
      </c>
      <c r="Z8" s="11" t="s">
        <v>151</v>
      </c>
      <c r="AA8" s="11" t="s">
        <v>152</v>
      </c>
      <c r="AB8" s="11">
        <v>10</v>
      </c>
      <c r="AC8" s="14">
        <v>0</v>
      </c>
      <c r="AD8" s="25">
        <v>5</v>
      </c>
      <c r="AE8" s="31">
        <f>30638/Table3[[#This Row],[PH Total Participants REMAINING in OR EXITING TO PH]]</f>
        <v>1531.9</v>
      </c>
      <c r="AF8" s="11">
        <v>10</v>
      </c>
      <c r="AG8" s="33">
        <v>20</v>
      </c>
      <c r="AH8" s="33">
        <v>20</v>
      </c>
      <c r="AI8" s="34">
        <v>1</v>
      </c>
      <c r="AJ8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88</v>
      </c>
    </row>
    <row r="9" spans="2:36" s="5" customFormat="1" ht="31.5" x14ac:dyDescent="0.25">
      <c r="B9" s="10" t="s">
        <v>135</v>
      </c>
      <c r="C9" s="11" t="s">
        <v>16</v>
      </c>
      <c r="D9" s="11" t="s">
        <v>17</v>
      </c>
      <c r="E9" s="11" t="s">
        <v>5</v>
      </c>
      <c r="F9" s="12">
        <v>43405</v>
      </c>
      <c r="G9" s="11" t="s">
        <v>90</v>
      </c>
      <c r="H9" s="11" t="s">
        <v>97</v>
      </c>
      <c r="I9" s="14">
        <v>0.93</v>
      </c>
      <c r="J9" s="25">
        <v>10</v>
      </c>
      <c r="K9" s="14">
        <v>1</v>
      </c>
      <c r="L9" s="25">
        <v>10</v>
      </c>
      <c r="M9" s="11">
        <v>10</v>
      </c>
      <c r="N9" s="11">
        <v>5</v>
      </c>
      <c r="O9" s="11" t="s">
        <v>109</v>
      </c>
      <c r="P9" s="11">
        <v>10</v>
      </c>
      <c r="Q9" s="14">
        <v>0</v>
      </c>
      <c r="R9" s="25">
        <v>15</v>
      </c>
      <c r="S9" s="14">
        <v>0.7</v>
      </c>
      <c r="T9" s="11">
        <v>0</v>
      </c>
      <c r="U9" s="14">
        <v>1</v>
      </c>
      <c r="V9" s="25">
        <v>10</v>
      </c>
      <c r="W9" s="11" t="s">
        <v>122</v>
      </c>
      <c r="X9" s="11" t="s">
        <v>151</v>
      </c>
      <c r="Y9" s="11" t="s">
        <v>104</v>
      </c>
      <c r="Z9" s="11" t="s">
        <v>151</v>
      </c>
      <c r="AA9" s="11" t="s">
        <v>152</v>
      </c>
      <c r="AB9" s="11">
        <v>10</v>
      </c>
      <c r="AC9" s="14">
        <v>0</v>
      </c>
      <c r="AD9" s="25">
        <v>5</v>
      </c>
      <c r="AE9" s="31">
        <f>125893/Table3[[#This Row],[PH Total Participants REMAINING in OR EXITING TO PH]]</f>
        <v>7868.3125</v>
      </c>
      <c r="AF9" s="11">
        <v>10</v>
      </c>
      <c r="AG9" s="33">
        <v>18</v>
      </c>
      <c r="AH9" s="33">
        <v>16</v>
      </c>
      <c r="AI9" s="34">
        <v>0.9</v>
      </c>
      <c r="AJ9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85</v>
      </c>
    </row>
    <row r="10" spans="2:36" s="5" customFormat="1" ht="31.5" x14ac:dyDescent="0.25">
      <c r="B10" s="10" t="s">
        <v>135</v>
      </c>
      <c r="C10" s="11" t="s">
        <v>18</v>
      </c>
      <c r="D10" s="11" t="s">
        <v>19</v>
      </c>
      <c r="E10" s="11" t="s">
        <v>5</v>
      </c>
      <c r="F10" s="12">
        <v>43221</v>
      </c>
      <c r="G10" s="11" t="s">
        <v>87</v>
      </c>
      <c r="H10" s="11">
        <v>1408</v>
      </c>
      <c r="I10" s="14">
        <v>0.9</v>
      </c>
      <c r="J10" s="25">
        <v>10</v>
      </c>
      <c r="K10" s="14">
        <v>1</v>
      </c>
      <c r="L10" s="25">
        <v>10</v>
      </c>
      <c r="M10" s="11">
        <v>14</v>
      </c>
      <c r="N10" s="11">
        <v>10</v>
      </c>
      <c r="O10" s="11" t="s">
        <v>109</v>
      </c>
      <c r="P10" s="11">
        <v>10</v>
      </c>
      <c r="Q10" s="14">
        <v>0</v>
      </c>
      <c r="R10" s="25">
        <v>15</v>
      </c>
      <c r="S10" s="14">
        <v>0.62</v>
      </c>
      <c r="T10" s="11">
        <v>0</v>
      </c>
      <c r="U10" s="14">
        <v>1</v>
      </c>
      <c r="V10" s="25">
        <v>10</v>
      </c>
      <c r="W10" s="11" t="s">
        <v>122</v>
      </c>
      <c r="X10" s="11" t="s">
        <v>151</v>
      </c>
      <c r="Y10" s="11" t="s">
        <v>104</v>
      </c>
      <c r="Z10" s="11" t="s">
        <v>151</v>
      </c>
      <c r="AA10" s="11" t="s">
        <v>152</v>
      </c>
      <c r="AB10" s="11">
        <v>10</v>
      </c>
      <c r="AC10" s="14">
        <v>0</v>
      </c>
      <c r="AD10" s="25">
        <v>5</v>
      </c>
      <c r="AE10" s="31">
        <f>50296/Table3[[#This Row],[PH Total Participants REMAINING in OR EXITING TO PH]]</f>
        <v>5588.4444444444443</v>
      </c>
      <c r="AF10" s="11">
        <v>10</v>
      </c>
      <c r="AG10" s="33">
        <v>9</v>
      </c>
      <c r="AH10" s="33">
        <v>9</v>
      </c>
      <c r="AI10" s="34">
        <v>1</v>
      </c>
      <c r="AJ10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90</v>
      </c>
    </row>
    <row r="11" spans="2:36" s="5" customFormat="1" ht="31.5" x14ac:dyDescent="0.25">
      <c r="B11" s="10" t="s">
        <v>138</v>
      </c>
      <c r="C11" s="11" t="s">
        <v>20</v>
      </c>
      <c r="D11" s="11" t="s">
        <v>21</v>
      </c>
      <c r="E11" s="11" t="s">
        <v>5</v>
      </c>
      <c r="F11" s="12">
        <v>43221</v>
      </c>
      <c r="G11" s="11" t="s">
        <v>87</v>
      </c>
      <c r="H11" s="11" t="s">
        <v>114</v>
      </c>
      <c r="I11" s="14">
        <v>0.72</v>
      </c>
      <c r="J11" s="25">
        <v>0</v>
      </c>
      <c r="K11" s="14">
        <v>0.5</v>
      </c>
      <c r="L11" s="25">
        <v>0</v>
      </c>
      <c r="M11" s="11">
        <v>4</v>
      </c>
      <c r="N11" s="11">
        <v>0</v>
      </c>
      <c r="O11" s="11" t="s">
        <v>109</v>
      </c>
      <c r="P11" s="11">
        <v>10</v>
      </c>
      <c r="Q11" s="14">
        <v>0</v>
      </c>
      <c r="R11" s="25">
        <v>15</v>
      </c>
      <c r="S11" s="30">
        <v>0.96</v>
      </c>
      <c r="T11" s="41">
        <v>8</v>
      </c>
      <c r="U11" s="14">
        <v>1</v>
      </c>
      <c r="V11" s="25">
        <v>10</v>
      </c>
      <c r="W11" s="11" t="s">
        <v>122</v>
      </c>
      <c r="X11" s="11" t="s">
        <v>151</v>
      </c>
      <c r="Y11" s="11" t="s">
        <v>104</v>
      </c>
      <c r="Z11" s="11" t="s">
        <v>151</v>
      </c>
      <c r="AA11" s="11" t="s">
        <v>152</v>
      </c>
      <c r="AB11" s="11">
        <v>10</v>
      </c>
      <c r="AC11" s="14">
        <v>0</v>
      </c>
      <c r="AD11" s="25">
        <v>5</v>
      </c>
      <c r="AE11" s="31">
        <f>174755/Table3[[#This Row],[PH Total Participants REMAINING in OR EXITING TO PH]]</f>
        <v>11650.333333333334</v>
      </c>
      <c r="AF11" s="11">
        <v>10</v>
      </c>
      <c r="AG11" s="33">
        <v>16</v>
      </c>
      <c r="AH11" s="33">
        <v>15</v>
      </c>
      <c r="AI11" s="34">
        <v>0.94</v>
      </c>
      <c r="AJ11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68</v>
      </c>
    </row>
    <row r="12" spans="2:36" s="5" customFormat="1" ht="63" x14ac:dyDescent="0.25">
      <c r="B12" s="10" t="s">
        <v>130</v>
      </c>
      <c r="C12" s="11" t="s">
        <v>22</v>
      </c>
      <c r="D12" s="11" t="s">
        <v>23</v>
      </c>
      <c r="E12" s="11" t="s">
        <v>5</v>
      </c>
      <c r="F12" s="12">
        <v>43160</v>
      </c>
      <c r="G12" s="11" t="s">
        <v>85</v>
      </c>
      <c r="H12" s="11">
        <v>1490</v>
      </c>
      <c r="I12" s="14">
        <v>0.97</v>
      </c>
      <c r="J12" s="25">
        <v>10</v>
      </c>
      <c r="K12" s="14">
        <v>1</v>
      </c>
      <c r="L12" s="25">
        <v>10</v>
      </c>
      <c r="M12" s="11">
        <v>9</v>
      </c>
      <c r="N12" s="11">
        <v>0</v>
      </c>
      <c r="O12" s="11" t="s">
        <v>109</v>
      </c>
      <c r="P12" s="11">
        <v>10</v>
      </c>
      <c r="Q12" s="30">
        <v>1</v>
      </c>
      <c r="R12" s="25">
        <v>0</v>
      </c>
      <c r="S12" s="14">
        <v>0.98</v>
      </c>
      <c r="T12" s="11">
        <v>8</v>
      </c>
      <c r="U12" s="14">
        <v>0</v>
      </c>
      <c r="V12" s="25">
        <v>0</v>
      </c>
      <c r="W12" s="11" t="s">
        <v>122</v>
      </c>
      <c r="X12" s="11" t="s">
        <v>151</v>
      </c>
      <c r="Y12" s="11" t="s">
        <v>104</v>
      </c>
      <c r="Z12" s="11" t="s">
        <v>151</v>
      </c>
      <c r="AA12" s="11" t="s">
        <v>152</v>
      </c>
      <c r="AB12" s="11">
        <v>10</v>
      </c>
      <c r="AC12" s="14">
        <v>0</v>
      </c>
      <c r="AD12" s="25">
        <v>5</v>
      </c>
      <c r="AE12" s="31">
        <f>91486/Table3[[#This Row],[PH Total Participants REMAINING in OR EXITING TO PH]]</f>
        <v>5381.5294117647063</v>
      </c>
      <c r="AF12" s="11">
        <v>10</v>
      </c>
      <c r="AG12" s="33">
        <v>18</v>
      </c>
      <c r="AH12" s="33">
        <v>17</v>
      </c>
      <c r="AI12" s="34">
        <v>0.94</v>
      </c>
      <c r="AJ12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63</v>
      </c>
    </row>
    <row r="13" spans="2:36" s="5" customFormat="1" ht="63" x14ac:dyDescent="0.25">
      <c r="B13" s="10" t="s">
        <v>130</v>
      </c>
      <c r="C13" s="11" t="s">
        <v>24</v>
      </c>
      <c r="D13" s="11" t="s">
        <v>25</v>
      </c>
      <c r="E13" s="11" t="s">
        <v>5</v>
      </c>
      <c r="F13" s="12">
        <v>43344</v>
      </c>
      <c r="G13" s="11" t="s">
        <v>88</v>
      </c>
      <c r="H13" s="11" t="s">
        <v>112</v>
      </c>
      <c r="I13" s="14">
        <v>0.98</v>
      </c>
      <c r="J13" s="25">
        <v>10</v>
      </c>
      <c r="K13" s="14">
        <v>1</v>
      </c>
      <c r="L13" s="25">
        <v>10</v>
      </c>
      <c r="M13" s="11">
        <v>7</v>
      </c>
      <c r="N13" s="11">
        <v>0</v>
      </c>
      <c r="O13" s="11" t="s">
        <v>109</v>
      </c>
      <c r="P13" s="11">
        <v>10</v>
      </c>
      <c r="Q13" s="14">
        <v>0</v>
      </c>
      <c r="R13" s="25">
        <v>15</v>
      </c>
      <c r="S13" s="14">
        <v>0.67</v>
      </c>
      <c r="T13" s="11">
        <v>0</v>
      </c>
      <c r="U13" s="14">
        <v>1</v>
      </c>
      <c r="V13" s="25">
        <v>10</v>
      </c>
      <c r="W13" s="11" t="s">
        <v>122</v>
      </c>
      <c r="X13" s="11" t="s">
        <v>151</v>
      </c>
      <c r="Y13" s="11" t="s">
        <v>104</v>
      </c>
      <c r="Z13" s="11" t="s">
        <v>151</v>
      </c>
      <c r="AA13" s="11" t="s">
        <v>152</v>
      </c>
      <c r="AB13" s="11">
        <v>10</v>
      </c>
      <c r="AC13" s="14">
        <v>0</v>
      </c>
      <c r="AD13" s="25">
        <v>5</v>
      </c>
      <c r="AE13" s="31">
        <f>101897/Table3[[#This Row],[PH Total Participants REMAINING in OR EXITING TO PH]]</f>
        <v>6368.5625</v>
      </c>
      <c r="AF13" s="11">
        <v>10</v>
      </c>
      <c r="AG13" s="33">
        <v>16</v>
      </c>
      <c r="AH13" s="33">
        <v>16</v>
      </c>
      <c r="AI13" s="34">
        <v>1</v>
      </c>
      <c r="AJ13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80</v>
      </c>
    </row>
    <row r="14" spans="2:36" s="5" customFormat="1" ht="47.25" x14ac:dyDescent="0.25">
      <c r="B14" s="10" t="s">
        <v>130</v>
      </c>
      <c r="C14" s="11" t="s">
        <v>26</v>
      </c>
      <c r="D14" s="11" t="s">
        <v>27</v>
      </c>
      <c r="E14" s="11" t="s">
        <v>5</v>
      </c>
      <c r="F14" s="12">
        <v>43191</v>
      </c>
      <c r="G14" s="11" t="s">
        <v>86</v>
      </c>
      <c r="H14" s="11">
        <v>1500</v>
      </c>
      <c r="I14" s="14">
        <v>0.98</v>
      </c>
      <c r="J14" s="25">
        <v>10</v>
      </c>
      <c r="K14" s="14" t="s">
        <v>113</v>
      </c>
      <c r="L14" s="25">
        <v>10</v>
      </c>
      <c r="M14" s="11" t="s">
        <v>113</v>
      </c>
      <c r="N14" s="11">
        <v>10</v>
      </c>
      <c r="O14" s="11" t="s">
        <v>109</v>
      </c>
      <c r="P14" s="11">
        <v>10</v>
      </c>
      <c r="Q14" s="14">
        <v>0</v>
      </c>
      <c r="R14" s="25">
        <v>15</v>
      </c>
      <c r="S14" s="14">
        <v>0.82</v>
      </c>
      <c r="T14" s="11">
        <v>0</v>
      </c>
      <c r="U14" s="14">
        <v>1</v>
      </c>
      <c r="V14" s="25">
        <v>10</v>
      </c>
      <c r="W14" s="11" t="s">
        <v>122</v>
      </c>
      <c r="X14" s="11" t="s">
        <v>151</v>
      </c>
      <c r="Y14" s="11" t="s">
        <v>104</v>
      </c>
      <c r="Z14" s="11" t="s">
        <v>151</v>
      </c>
      <c r="AA14" s="11" t="s">
        <v>152</v>
      </c>
      <c r="AB14" s="11">
        <v>10</v>
      </c>
      <c r="AC14" s="14">
        <v>0</v>
      </c>
      <c r="AD14" s="25">
        <v>5</v>
      </c>
      <c r="AE14" s="31">
        <f>68154/Table3[[#This Row],[PH Total Participants REMAINING in OR EXITING TO PH]]</f>
        <v>2726.16</v>
      </c>
      <c r="AF14" s="11">
        <v>10</v>
      </c>
      <c r="AG14" s="33">
        <v>25</v>
      </c>
      <c r="AH14" s="33">
        <v>25</v>
      </c>
      <c r="AI14" s="34">
        <v>1</v>
      </c>
      <c r="AJ14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90</v>
      </c>
    </row>
    <row r="15" spans="2:36" s="5" customFormat="1" ht="94.5" x14ac:dyDescent="0.25">
      <c r="B15" s="10" t="s">
        <v>131</v>
      </c>
      <c r="C15" s="11" t="s">
        <v>28</v>
      </c>
      <c r="D15" s="11" t="s">
        <v>29</v>
      </c>
      <c r="E15" s="11" t="s">
        <v>5</v>
      </c>
      <c r="F15" s="12">
        <v>43405</v>
      </c>
      <c r="G15" s="11" t="s">
        <v>90</v>
      </c>
      <c r="H15" s="11" t="s">
        <v>124</v>
      </c>
      <c r="I15" s="14">
        <v>0.96</v>
      </c>
      <c r="J15" s="25">
        <v>10</v>
      </c>
      <c r="K15" s="14">
        <v>1</v>
      </c>
      <c r="L15" s="25">
        <v>10</v>
      </c>
      <c r="M15" s="11">
        <v>13</v>
      </c>
      <c r="N15" s="11">
        <v>10</v>
      </c>
      <c r="O15" s="11" t="s">
        <v>109</v>
      </c>
      <c r="P15" s="11">
        <v>10</v>
      </c>
      <c r="Q15" s="14">
        <v>0.15</v>
      </c>
      <c r="R15" s="25">
        <v>0</v>
      </c>
      <c r="S15" s="14">
        <v>0.96</v>
      </c>
      <c r="T15" s="11">
        <v>8</v>
      </c>
      <c r="U15" s="14">
        <v>0.6</v>
      </c>
      <c r="V15" s="25">
        <v>0</v>
      </c>
      <c r="W15" s="11" t="s">
        <v>122</v>
      </c>
      <c r="X15" s="11" t="s">
        <v>151</v>
      </c>
      <c r="Y15" s="11" t="s">
        <v>104</v>
      </c>
      <c r="Z15" s="11" t="s">
        <v>151</v>
      </c>
      <c r="AA15" s="11" t="s">
        <v>151</v>
      </c>
      <c r="AB15" s="11">
        <v>10</v>
      </c>
      <c r="AC15" s="14">
        <v>0</v>
      </c>
      <c r="AD15" s="25">
        <v>5</v>
      </c>
      <c r="AE15" s="31">
        <f>1764069/Table3[[#This Row],[PH Total Participants REMAINING in OR EXITING TO PH]]</f>
        <v>6972.604743083004</v>
      </c>
      <c r="AF15" s="11">
        <v>10</v>
      </c>
      <c r="AG15" s="33">
        <v>265</v>
      </c>
      <c r="AH15" s="33">
        <v>253</v>
      </c>
      <c r="AI15" s="34">
        <v>0.95</v>
      </c>
      <c r="AJ15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73</v>
      </c>
    </row>
    <row r="16" spans="2:36" s="5" customFormat="1" ht="47.25" x14ac:dyDescent="0.25">
      <c r="B16" s="10" t="s">
        <v>137</v>
      </c>
      <c r="C16" s="11" t="s">
        <v>30</v>
      </c>
      <c r="D16" s="11" t="s">
        <v>31</v>
      </c>
      <c r="E16" s="11" t="s">
        <v>5</v>
      </c>
      <c r="F16" s="12">
        <v>43313</v>
      </c>
      <c r="G16" s="11" t="s">
        <v>120</v>
      </c>
      <c r="H16" s="11">
        <v>1506</v>
      </c>
      <c r="I16" s="14">
        <v>0.97</v>
      </c>
      <c r="J16" s="25">
        <v>10</v>
      </c>
      <c r="K16" s="14">
        <v>1</v>
      </c>
      <c r="L16" s="25">
        <v>10</v>
      </c>
      <c r="M16" s="11">
        <v>16</v>
      </c>
      <c r="N16" s="11">
        <v>10</v>
      </c>
      <c r="O16" s="11" t="s">
        <v>109</v>
      </c>
      <c r="P16" s="11">
        <v>10</v>
      </c>
      <c r="Q16" s="14">
        <v>0</v>
      </c>
      <c r="R16" s="25">
        <v>15</v>
      </c>
      <c r="S16" s="11">
        <v>100</v>
      </c>
      <c r="T16" s="11">
        <v>10</v>
      </c>
      <c r="U16" s="14">
        <v>1</v>
      </c>
      <c r="V16" s="25">
        <v>10</v>
      </c>
      <c r="W16" s="11" t="s">
        <v>122</v>
      </c>
      <c r="X16" s="11" t="s">
        <v>151</v>
      </c>
      <c r="Y16" s="11" t="s">
        <v>104</v>
      </c>
      <c r="Z16" s="11" t="s">
        <v>151</v>
      </c>
      <c r="AA16" s="11" t="s">
        <v>152</v>
      </c>
      <c r="AB16" s="11">
        <v>10</v>
      </c>
      <c r="AC16" s="14">
        <v>0</v>
      </c>
      <c r="AD16" s="25">
        <v>5</v>
      </c>
      <c r="AE16" s="31">
        <f>49441/Table3[[#This Row],[PH Total Participants REMAINING in OR EXITING TO PH]]</f>
        <v>5493.4444444444443</v>
      </c>
      <c r="AF16" s="11">
        <v>10</v>
      </c>
      <c r="AG16" s="33">
        <v>9</v>
      </c>
      <c r="AH16" s="33">
        <v>9</v>
      </c>
      <c r="AI16" s="34">
        <v>1</v>
      </c>
      <c r="AJ16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100</v>
      </c>
    </row>
    <row r="17" spans="2:36" s="5" customFormat="1" ht="31.5" x14ac:dyDescent="0.25">
      <c r="B17" s="10" t="s">
        <v>130</v>
      </c>
      <c r="C17" s="11" t="s">
        <v>32</v>
      </c>
      <c r="D17" s="11" t="s">
        <v>33</v>
      </c>
      <c r="E17" s="11" t="s">
        <v>5</v>
      </c>
      <c r="F17" s="12">
        <v>43313</v>
      </c>
      <c r="G17" s="11" t="s">
        <v>120</v>
      </c>
      <c r="H17" s="11" t="s">
        <v>115</v>
      </c>
      <c r="I17" s="14">
        <v>0.97</v>
      </c>
      <c r="J17" s="25">
        <v>10</v>
      </c>
      <c r="K17" s="14">
        <v>1</v>
      </c>
      <c r="L17" s="25">
        <v>10</v>
      </c>
      <c r="M17" s="11">
        <v>8</v>
      </c>
      <c r="N17" s="11">
        <v>0</v>
      </c>
      <c r="O17" s="11" t="s">
        <v>109</v>
      </c>
      <c r="P17" s="11">
        <v>10</v>
      </c>
      <c r="Q17" s="14">
        <v>0</v>
      </c>
      <c r="R17" s="25">
        <v>15</v>
      </c>
      <c r="S17" s="14">
        <v>1</v>
      </c>
      <c r="T17" s="11">
        <v>10</v>
      </c>
      <c r="U17" s="14">
        <v>1</v>
      </c>
      <c r="V17" s="25">
        <v>10</v>
      </c>
      <c r="W17" s="11" t="s">
        <v>122</v>
      </c>
      <c r="X17" s="11" t="s">
        <v>151</v>
      </c>
      <c r="Y17" s="11" t="s">
        <v>104</v>
      </c>
      <c r="Z17" s="11" t="s">
        <v>151</v>
      </c>
      <c r="AA17" s="11" t="s">
        <v>152</v>
      </c>
      <c r="AB17" s="11">
        <v>10</v>
      </c>
      <c r="AC17" s="14">
        <v>0</v>
      </c>
      <c r="AD17" s="25">
        <v>5</v>
      </c>
      <c r="AE17" s="31">
        <f>33083/Table3[[#This Row],[PH Total Participants REMAINING in OR EXITING TO PH]]</f>
        <v>1102.7666666666667</v>
      </c>
      <c r="AF17" s="11">
        <v>10</v>
      </c>
      <c r="AG17" s="33">
        <v>31</v>
      </c>
      <c r="AH17" s="33">
        <v>30</v>
      </c>
      <c r="AI17" s="34">
        <v>0.97</v>
      </c>
      <c r="AJ17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90</v>
      </c>
    </row>
    <row r="18" spans="2:36" s="5" customFormat="1" ht="47.25" x14ac:dyDescent="0.25">
      <c r="B18" s="10" t="s">
        <v>130</v>
      </c>
      <c r="C18" s="11" t="s">
        <v>34</v>
      </c>
      <c r="D18" s="11" t="s">
        <v>35</v>
      </c>
      <c r="E18" s="11" t="s">
        <v>5</v>
      </c>
      <c r="F18" s="12">
        <v>43435</v>
      </c>
      <c r="G18" s="11" t="s">
        <v>83</v>
      </c>
      <c r="H18" s="11">
        <v>1495</v>
      </c>
      <c r="I18" s="14">
        <v>0.94</v>
      </c>
      <c r="J18" s="25">
        <v>10</v>
      </c>
      <c r="K18" s="23">
        <v>1</v>
      </c>
      <c r="L18" s="26">
        <v>10</v>
      </c>
      <c r="M18" s="24" t="s">
        <v>129</v>
      </c>
      <c r="N18" s="24">
        <v>10</v>
      </c>
      <c r="O18" s="11" t="s">
        <v>98</v>
      </c>
      <c r="P18" s="11">
        <v>10</v>
      </c>
      <c r="Q18" s="11" t="s">
        <v>98</v>
      </c>
      <c r="R18" s="25">
        <v>15</v>
      </c>
      <c r="S18" s="14">
        <v>0.83</v>
      </c>
      <c r="T18" s="11">
        <v>0</v>
      </c>
      <c r="U18" s="14" t="s">
        <v>98</v>
      </c>
      <c r="V18" s="25">
        <v>10</v>
      </c>
      <c r="W18" s="11" t="s">
        <v>122</v>
      </c>
      <c r="X18" s="11" t="s">
        <v>151</v>
      </c>
      <c r="Y18" s="11" t="s">
        <v>104</v>
      </c>
      <c r="Z18" s="11" t="s">
        <v>151</v>
      </c>
      <c r="AA18" s="11" t="s">
        <v>152</v>
      </c>
      <c r="AB18" s="11">
        <v>10</v>
      </c>
      <c r="AC18" s="14">
        <v>0</v>
      </c>
      <c r="AD18" s="25">
        <v>5</v>
      </c>
      <c r="AE18" s="31">
        <f>43225/Table3[[#This Row],[PH Total Participants REMAINING in OR EXITING TO PH]]</f>
        <v>2275</v>
      </c>
      <c r="AF18" s="11">
        <v>10</v>
      </c>
      <c r="AG18" s="33">
        <v>19</v>
      </c>
      <c r="AH18" s="33">
        <v>19</v>
      </c>
      <c r="AI18" s="34">
        <v>1</v>
      </c>
      <c r="AJ18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90</v>
      </c>
    </row>
    <row r="19" spans="2:36" s="5" customFormat="1" ht="63" x14ac:dyDescent="0.25">
      <c r="B19" s="10" t="s">
        <v>10</v>
      </c>
      <c r="C19" s="11" t="s">
        <v>36</v>
      </c>
      <c r="D19" s="11" t="s">
        <v>37</v>
      </c>
      <c r="E19" s="11" t="s">
        <v>5</v>
      </c>
      <c r="F19" s="12">
        <v>43160</v>
      </c>
      <c r="G19" s="11" t="s">
        <v>85</v>
      </c>
      <c r="H19" s="11">
        <v>1757</v>
      </c>
      <c r="I19" s="14">
        <v>0.92</v>
      </c>
      <c r="J19" s="25">
        <v>10</v>
      </c>
      <c r="K19" s="14">
        <v>1</v>
      </c>
      <c r="L19" s="25">
        <v>10</v>
      </c>
      <c r="M19" s="11">
        <v>16</v>
      </c>
      <c r="N19" s="11">
        <v>10</v>
      </c>
      <c r="O19" s="11" t="s">
        <v>109</v>
      </c>
      <c r="P19" s="11">
        <v>10</v>
      </c>
      <c r="Q19" s="14">
        <v>0</v>
      </c>
      <c r="R19" s="25">
        <v>15</v>
      </c>
      <c r="S19" s="14">
        <v>0.65</v>
      </c>
      <c r="T19" s="11">
        <v>0</v>
      </c>
      <c r="U19" s="14">
        <v>1</v>
      </c>
      <c r="V19" s="25">
        <v>10</v>
      </c>
      <c r="W19" s="11" t="s">
        <v>122</v>
      </c>
      <c r="X19" s="11" t="s">
        <v>151</v>
      </c>
      <c r="Y19" s="11" t="s">
        <v>104</v>
      </c>
      <c r="Z19" s="11" t="s">
        <v>151</v>
      </c>
      <c r="AA19" s="11" t="s">
        <v>153</v>
      </c>
      <c r="AB19" s="11">
        <v>0</v>
      </c>
      <c r="AC19" s="14">
        <v>0</v>
      </c>
      <c r="AD19" s="25">
        <v>5</v>
      </c>
      <c r="AE19" s="31">
        <f>71762/Table3[[#This Row],[PH Total Participants REMAINING in OR EXITING TO PH]]</f>
        <v>6523.818181818182</v>
      </c>
      <c r="AF19" s="11">
        <v>10</v>
      </c>
      <c r="AG19" s="33">
        <v>12</v>
      </c>
      <c r="AH19" s="33">
        <v>11</v>
      </c>
      <c r="AI19" s="34">
        <v>0.92</v>
      </c>
      <c r="AJ19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80</v>
      </c>
    </row>
    <row r="20" spans="2:36" s="5" customFormat="1" ht="31.5" x14ac:dyDescent="0.25">
      <c r="B20" s="10" t="s">
        <v>131</v>
      </c>
      <c r="C20" s="11" t="s">
        <v>38</v>
      </c>
      <c r="D20" s="11" t="s">
        <v>39</v>
      </c>
      <c r="E20" s="11" t="s">
        <v>5</v>
      </c>
      <c r="F20" s="12">
        <v>43344</v>
      </c>
      <c r="G20" s="11" t="s">
        <v>88</v>
      </c>
      <c r="H20" s="11">
        <v>1714</v>
      </c>
      <c r="I20" s="14">
        <v>0.99</v>
      </c>
      <c r="J20" s="25">
        <v>10</v>
      </c>
      <c r="K20" s="14">
        <v>1</v>
      </c>
      <c r="L20" s="25">
        <v>10</v>
      </c>
      <c r="M20" s="11">
        <v>12</v>
      </c>
      <c r="N20" s="11">
        <v>5</v>
      </c>
      <c r="O20" s="11" t="s">
        <v>109</v>
      </c>
      <c r="P20" s="11">
        <v>10</v>
      </c>
      <c r="Q20" s="14">
        <v>0</v>
      </c>
      <c r="R20" s="25">
        <v>15</v>
      </c>
      <c r="S20" s="14">
        <v>0.97</v>
      </c>
      <c r="T20" s="11">
        <v>8</v>
      </c>
      <c r="U20" s="14">
        <v>1</v>
      </c>
      <c r="V20" s="25">
        <v>10</v>
      </c>
      <c r="W20" s="11" t="s">
        <v>122</v>
      </c>
      <c r="X20" s="11" t="s">
        <v>151</v>
      </c>
      <c r="Y20" s="11" t="s">
        <v>104</v>
      </c>
      <c r="Z20" s="11" t="s">
        <v>151</v>
      </c>
      <c r="AA20" s="11" t="s">
        <v>151</v>
      </c>
      <c r="AB20" s="11">
        <v>10</v>
      </c>
      <c r="AC20" s="14">
        <v>0</v>
      </c>
      <c r="AD20" s="25">
        <v>5</v>
      </c>
      <c r="AE20" s="31">
        <f>114193/Table3[[#This Row],[PH Total Participants REMAINING in OR EXITING TO PH]]</f>
        <v>5437.7619047619046</v>
      </c>
      <c r="AF20" s="11">
        <v>10</v>
      </c>
      <c r="AG20" s="33">
        <v>21</v>
      </c>
      <c r="AH20" s="33">
        <v>21</v>
      </c>
      <c r="AI20" s="34">
        <v>1</v>
      </c>
      <c r="AJ20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93</v>
      </c>
    </row>
    <row r="21" spans="2:36" s="5" customFormat="1" ht="126" x14ac:dyDescent="0.25">
      <c r="B21" s="10" t="s">
        <v>130</v>
      </c>
      <c r="C21" s="11" t="s">
        <v>40</v>
      </c>
      <c r="D21" s="11" t="s">
        <v>41</v>
      </c>
      <c r="E21" s="11" t="s">
        <v>5</v>
      </c>
      <c r="F21" s="12">
        <v>43132</v>
      </c>
      <c r="G21" s="11" t="s">
        <v>84</v>
      </c>
      <c r="H21" s="11" t="s">
        <v>117</v>
      </c>
      <c r="I21" s="14">
        <v>1</v>
      </c>
      <c r="J21" s="25">
        <v>10</v>
      </c>
      <c r="K21" s="14" t="s">
        <v>113</v>
      </c>
      <c r="L21" s="25">
        <v>10</v>
      </c>
      <c r="M21" s="11" t="s">
        <v>113</v>
      </c>
      <c r="N21" s="11">
        <v>10</v>
      </c>
      <c r="O21" s="11" t="s">
        <v>109</v>
      </c>
      <c r="P21" s="11">
        <v>10</v>
      </c>
      <c r="Q21" s="14">
        <v>0</v>
      </c>
      <c r="R21" s="25">
        <v>15</v>
      </c>
      <c r="S21" s="14">
        <v>0.71</v>
      </c>
      <c r="T21" s="11">
        <v>0</v>
      </c>
      <c r="U21" s="14">
        <v>1</v>
      </c>
      <c r="V21" s="25">
        <v>10</v>
      </c>
      <c r="W21" s="11" t="s">
        <v>122</v>
      </c>
      <c r="X21" s="11" t="s">
        <v>151</v>
      </c>
      <c r="Y21" s="11" t="s">
        <v>104</v>
      </c>
      <c r="Z21" s="11" t="s">
        <v>151</v>
      </c>
      <c r="AA21" s="11" t="s">
        <v>152</v>
      </c>
      <c r="AB21" s="11">
        <v>10</v>
      </c>
      <c r="AC21" s="14">
        <v>0</v>
      </c>
      <c r="AD21" s="25">
        <v>5</v>
      </c>
      <c r="AE21" s="31">
        <f>76690/Table3[[#This Row],[PH Total Participants REMAINING in OR EXITING TO PH]]</f>
        <v>15338</v>
      </c>
      <c r="AF21" s="11">
        <v>5</v>
      </c>
      <c r="AG21" s="33">
        <v>5</v>
      </c>
      <c r="AH21" s="33">
        <v>5</v>
      </c>
      <c r="AI21" s="34">
        <v>1</v>
      </c>
      <c r="AJ21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85</v>
      </c>
    </row>
    <row r="22" spans="2:36" s="5" customFormat="1" ht="31.5" x14ac:dyDescent="0.25">
      <c r="B22" s="10" t="s">
        <v>136</v>
      </c>
      <c r="C22" s="11" t="s">
        <v>42</v>
      </c>
      <c r="D22" s="11" t="s">
        <v>43</v>
      </c>
      <c r="E22" s="11" t="s">
        <v>5</v>
      </c>
      <c r="F22" s="12">
        <v>43374</v>
      </c>
      <c r="G22" s="11" t="s">
        <v>89</v>
      </c>
      <c r="H22" s="11">
        <v>1813</v>
      </c>
      <c r="I22" s="14">
        <v>0.53</v>
      </c>
      <c r="J22" s="25">
        <v>0</v>
      </c>
      <c r="K22" s="14">
        <v>1</v>
      </c>
      <c r="L22" s="25">
        <v>10</v>
      </c>
      <c r="M22" s="11">
        <v>12</v>
      </c>
      <c r="N22" s="11">
        <v>5</v>
      </c>
      <c r="O22" s="11" t="s">
        <v>109</v>
      </c>
      <c r="P22" s="11">
        <v>10</v>
      </c>
      <c r="Q22" s="14">
        <v>0</v>
      </c>
      <c r="R22" s="25">
        <v>15</v>
      </c>
      <c r="S22" s="14">
        <v>0.79</v>
      </c>
      <c r="T22" s="11">
        <v>0</v>
      </c>
      <c r="U22" s="14">
        <v>0.67</v>
      </c>
      <c r="V22" s="25">
        <v>0</v>
      </c>
      <c r="W22" s="11" t="s">
        <v>122</v>
      </c>
      <c r="X22" s="11" t="s">
        <v>151</v>
      </c>
      <c r="Y22" s="11" t="s">
        <v>104</v>
      </c>
      <c r="Z22" s="11" t="s">
        <v>151</v>
      </c>
      <c r="AA22" s="11" t="s">
        <v>152</v>
      </c>
      <c r="AB22" s="11">
        <v>10</v>
      </c>
      <c r="AC22" s="14">
        <v>0</v>
      </c>
      <c r="AD22" s="25">
        <v>5</v>
      </c>
      <c r="AE22" s="31">
        <f>297750/Table3[[#This Row],[PH Total Participants REMAINING in OR EXITING TO PH]]</f>
        <v>17514.705882352941</v>
      </c>
      <c r="AF22" s="11">
        <v>5</v>
      </c>
      <c r="AG22" s="33">
        <v>18</v>
      </c>
      <c r="AH22" s="33">
        <v>17</v>
      </c>
      <c r="AI22" s="34">
        <v>0.94</v>
      </c>
      <c r="AJ22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60</v>
      </c>
    </row>
    <row r="23" spans="2:36" s="5" customFormat="1" ht="63" x14ac:dyDescent="0.25">
      <c r="B23" s="10" t="s">
        <v>130</v>
      </c>
      <c r="C23" s="11" t="s">
        <v>44</v>
      </c>
      <c r="D23" s="11" t="s">
        <v>45</v>
      </c>
      <c r="E23" s="11" t="s">
        <v>5</v>
      </c>
      <c r="F23" s="12">
        <v>43435</v>
      </c>
      <c r="G23" s="11" t="s">
        <v>83</v>
      </c>
      <c r="H23" s="11" t="s">
        <v>128</v>
      </c>
      <c r="I23" s="23">
        <v>0.83</v>
      </c>
      <c r="J23" s="26">
        <v>0</v>
      </c>
      <c r="K23" s="14">
        <v>1</v>
      </c>
      <c r="L23" s="25">
        <v>10</v>
      </c>
      <c r="M23" s="11">
        <v>11</v>
      </c>
      <c r="N23" s="11">
        <v>10</v>
      </c>
      <c r="O23" s="11" t="s">
        <v>98</v>
      </c>
      <c r="P23" s="11">
        <v>10</v>
      </c>
      <c r="Q23" s="11" t="s">
        <v>98</v>
      </c>
      <c r="R23" s="25">
        <v>15</v>
      </c>
      <c r="S23" s="14">
        <v>0.56999999999999995</v>
      </c>
      <c r="T23" s="11">
        <v>0</v>
      </c>
      <c r="U23" s="14" t="s">
        <v>98</v>
      </c>
      <c r="V23" s="25">
        <v>10</v>
      </c>
      <c r="W23" s="11" t="s">
        <v>121</v>
      </c>
      <c r="X23" s="11" t="s">
        <v>151</v>
      </c>
      <c r="Y23" s="11" t="s">
        <v>104</v>
      </c>
      <c r="Z23" s="11" t="s">
        <v>151</v>
      </c>
      <c r="AA23" s="11" t="s">
        <v>152</v>
      </c>
      <c r="AB23" s="11">
        <v>10</v>
      </c>
      <c r="AC23" s="14">
        <v>0</v>
      </c>
      <c r="AD23" s="25">
        <v>5</v>
      </c>
      <c r="AE23" s="31">
        <f>188058/Table3[[#This Row],[PH Total Participants REMAINING in OR EXITING TO PH]]</f>
        <v>12537.2</v>
      </c>
      <c r="AF23" s="11">
        <v>10</v>
      </c>
      <c r="AG23" s="33">
        <v>15</v>
      </c>
      <c r="AH23" s="33">
        <v>15</v>
      </c>
      <c r="AI23" s="34">
        <v>1</v>
      </c>
      <c r="AJ23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80</v>
      </c>
    </row>
    <row r="24" spans="2:36" s="5" customFormat="1" ht="94.5" x14ac:dyDescent="0.25">
      <c r="B24" s="10" t="s">
        <v>131</v>
      </c>
      <c r="C24" s="11" t="s">
        <v>46</v>
      </c>
      <c r="D24" s="11" t="s">
        <v>47</v>
      </c>
      <c r="E24" s="11" t="s">
        <v>5</v>
      </c>
      <c r="F24" s="12">
        <v>43374</v>
      </c>
      <c r="G24" s="11" t="s">
        <v>89</v>
      </c>
      <c r="H24" s="11" t="s">
        <v>96</v>
      </c>
      <c r="I24" s="14">
        <v>0.79</v>
      </c>
      <c r="J24" s="25">
        <v>0</v>
      </c>
      <c r="K24" s="14">
        <v>1</v>
      </c>
      <c r="L24" s="25">
        <v>10</v>
      </c>
      <c r="M24" s="11">
        <v>14</v>
      </c>
      <c r="N24" s="11">
        <v>10</v>
      </c>
      <c r="O24" s="11" t="s">
        <v>109</v>
      </c>
      <c r="P24" s="11">
        <v>10</v>
      </c>
      <c r="Q24" s="14">
        <v>0</v>
      </c>
      <c r="R24" s="25">
        <v>15</v>
      </c>
      <c r="S24" s="14">
        <v>0.65</v>
      </c>
      <c r="T24" s="11">
        <v>0</v>
      </c>
      <c r="U24" s="14">
        <v>0.5</v>
      </c>
      <c r="V24" s="25">
        <v>0</v>
      </c>
      <c r="W24" s="11" t="s">
        <v>122</v>
      </c>
      <c r="X24" s="11" t="s">
        <v>151</v>
      </c>
      <c r="Y24" s="11" t="s">
        <v>104</v>
      </c>
      <c r="Z24" s="11" t="s">
        <v>151</v>
      </c>
      <c r="AA24" s="11" t="s">
        <v>151</v>
      </c>
      <c r="AB24" s="11">
        <v>10</v>
      </c>
      <c r="AC24" s="14">
        <v>0</v>
      </c>
      <c r="AD24" s="25">
        <v>5</v>
      </c>
      <c r="AE24" s="31">
        <f>231352/Table3[[#This Row],[PH Total Participants REMAINING in OR EXITING TO PH]]</f>
        <v>15423.466666666667</v>
      </c>
      <c r="AF24" s="11">
        <v>5</v>
      </c>
      <c r="AG24" s="33">
        <v>16</v>
      </c>
      <c r="AH24" s="33">
        <v>15</v>
      </c>
      <c r="AI24" s="34">
        <v>0.94</v>
      </c>
      <c r="AJ24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65</v>
      </c>
    </row>
    <row r="25" spans="2:36" s="5" customFormat="1" ht="78.75" x14ac:dyDescent="0.25">
      <c r="B25" s="10" t="s">
        <v>131</v>
      </c>
      <c r="C25" s="11" t="s">
        <v>48</v>
      </c>
      <c r="D25" s="11" t="s">
        <v>49</v>
      </c>
      <c r="E25" s="11" t="s">
        <v>5</v>
      </c>
      <c r="F25" s="12">
        <v>43405</v>
      </c>
      <c r="G25" s="11" t="s">
        <v>90</v>
      </c>
      <c r="H25" s="11" t="s">
        <v>99</v>
      </c>
      <c r="I25" s="14">
        <v>0.72</v>
      </c>
      <c r="J25" s="25">
        <v>0</v>
      </c>
      <c r="K25" s="14">
        <v>0.83</v>
      </c>
      <c r="L25" s="25">
        <v>0</v>
      </c>
      <c r="M25" s="11">
        <v>9</v>
      </c>
      <c r="N25" s="11">
        <v>0</v>
      </c>
      <c r="O25" s="11" t="s">
        <v>98</v>
      </c>
      <c r="P25" s="11">
        <v>10</v>
      </c>
      <c r="Q25" s="11" t="s">
        <v>98</v>
      </c>
      <c r="R25" s="25">
        <v>15</v>
      </c>
      <c r="S25" s="14">
        <v>0.33</v>
      </c>
      <c r="T25" s="11">
        <v>0</v>
      </c>
      <c r="U25" s="14" t="s">
        <v>98</v>
      </c>
      <c r="V25" s="25">
        <v>10</v>
      </c>
      <c r="W25" s="11" t="s">
        <v>122</v>
      </c>
      <c r="X25" s="11" t="s">
        <v>151</v>
      </c>
      <c r="Y25" s="11" t="s">
        <v>104</v>
      </c>
      <c r="Z25" s="11" t="s">
        <v>151</v>
      </c>
      <c r="AA25" s="11" t="s">
        <v>151</v>
      </c>
      <c r="AB25" s="11">
        <v>10</v>
      </c>
      <c r="AC25" s="14">
        <v>0</v>
      </c>
      <c r="AD25" s="25">
        <v>5</v>
      </c>
      <c r="AE25" s="31">
        <f>161320/Table3[[#This Row],[PH Total Participants REMAINING in OR EXITING TO PH]]</f>
        <v>17924.444444444445</v>
      </c>
      <c r="AF25" s="11">
        <v>5</v>
      </c>
      <c r="AG25" s="33">
        <v>9</v>
      </c>
      <c r="AH25" s="33">
        <v>9</v>
      </c>
      <c r="AI25" s="34">
        <v>1</v>
      </c>
      <c r="AJ25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55</v>
      </c>
    </row>
    <row r="26" spans="2:36" s="5" customFormat="1" ht="126" customHeight="1" x14ac:dyDescent="0.25">
      <c r="B26" s="10" t="s">
        <v>130</v>
      </c>
      <c r="C26" s="11" t="s">
        <v>107</v>
      </c>
      <c r="D26" s="11" t="s">
        <v>50</v>
      </c>
      <c r="E26" s="11" t="s">
        <v>5</v>
      </c>
      <c r="F26" s="12">
        <v>42705</v>
      </c>
      <c r="G26" s="11" t="s">
        <v>83</v>
      </c>
      <c r="H26" s="11">
        <v>1848</v>
      </c>
      <c r="I26" s="14">
        <v>0.85</v>
      </c>
      <c r="J26" s="25">
        <v>5</v>
      </c>
      <c r="K26" s="14">
        <v>1</v>
      </c>
      <c r="L26" s="25">
        <v>10</v>
      </c>
      <c r="M26" s="11">
        <v>11</v>
      </c>
      <c r="N26" s="11">
        <v>5</v>
      </c>
      <c r="O26" s="11" t="s">
        <v>109</v>
      </c>
      <c r="P26" s="11">
        <v>10</v>
      </c>
      <c r="Q26" s="14">
        <v>0</v>
      </c>
      <c r="R26" s="25">
        <v>15</v>
      </c>
      <c r="S26" s="14">
        <v>0.2</v>
      </c>
      <c r="T26" s="11">
        <v>0</v>
      </c>
      <c r="U26" s="14">
        <v>0</v>
      </c>
      <c r="V26" s="25">
        <v>0</v>
      </c>
      <c r="W26" s="11" t="s">
        <v>122</v>
      </c>
      <c r="X26" s="11" t="s">
        <v>151</v>
      </c>
      <c r="Y26" s="11" t="s">
        <v>104</v>
      </c>
      <c r="Z26" s="11" t="s">
        <v>151</v>
      </c>
      <c r="AA26" s="11" t="s">
        <v>152</v>
      </c>
      <c r="AB26" s="11">
        <v>10</v>
      </c>
      <c r="AC26" s="14">
        <v>0</v>
      </c>
      <c r="AD26" s="25">
        <v>5</v>
      </c>
      <c r="AE26" s="31">
        <f>108023/Table3[[#This Row],[PH Total Participants REMAINING in OR EXITING TO PH]]</f>
        <v>9001.9166666666661</v>
      </c>
      <c r="AF26" s="11">
        <v>10</v>
      </c>
      <c r="AG26" s="33">
        <v>13</v>
      </c>
      <c r="AH26" s="33">
        <v>12</v>
      </c>
      <c r="AI26" s="34">
        <v>0.92</v>
      </c>
      <c r="AJ26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70</v>
      </c>
    </row>
    <row r="27" spans="2:36" s="5" customFormat="1" ht="31.5" x14ac:dyDescent="0.25">
      <c r="B27" s="10" t="s">
        <v>135</v>
      </c>
      <c r="C27" s="11" t="s">
        <v>51</v>
      </c>
      <c r="D27" s="11" t="s">
        <v>52</v>
      </c>
      <c r="E27" s="11" t="s">
        <v>5</v>
      </c>
      <c r="F27" s="12">
        <v>43405</v>
      </c>
      <c r="G27" s="11" t="s">
        <v>90</v>
      </c>
      <c r="H27" s="11">
        <v>1858</v>
      </c>
      <c r="I27" s="14">
        <v>0.95</v>
      </c>
      <c r="J27" s="25">
        <v>10</v>
      </c>
      <c r="K27" s="14">
        <v>1</v>
      </c>
      <c r="L27" s="25">
        <v>10</v>
      </c>
      <c r="M27" s="11">
        <v>13</v>
      </c>
      <c r="N27" s="11">
        <v>10</v>
      </c>
      <c r="O27" s="29">
        <v>0.5</v>
      </c>
      <c r="P27" s="11">
        <v>0</v>
      </c>
      <c r="Q27" s="11" t="s">
        <v>110</v>
      </c>
      <c r="R27" s="25">
        <v>15</v>
      </c>
      <c r="S27" s="14">
        <v>0.46</v>
      </c>
      <c r="T27" s="11">
        <v>0</v>
      </c>
      <c r="U27" s="14" t="s">
        <v>110</v>
      </c>
      <c r="V27" s="25">
        <v>10</v>
      </c>
      <c r="W27" s="11" t="s">
        <v>122</v>
      </c>
      <c r="X27" s="11" t="s">
        <v>151</v>
      </c>
      <c r="Y27" s="11" t="s">
        <v>104</v>
      </c>
      <c r="Z27" s="11" t="s">
        <v>151</v>
      </c>
      <c r="AA27" s="11" t="s">
        <v>152</v>
      </c>
      <c r="AB27" s="11">
        <v>10</v>
      </c>
      <c r="AC27" s="14">
        <v>0</v>
      </c>
      <c r="AD27" s="25">
        <v>5</v>
      </c>
      <c r="AE27" s="31">
        <f>39464/Table3[[#This Row],[PH Total Participants REMAINING in OR EXITING TO PH]]</f>
        <v>3946.4</v>
      </c>
      <c r="AF27" s="11">
        <v>10</v>
      </c>
      <c r="AG27" s="33">
        <v>11</v>
      </c>
      <c r="AH27" s="33">
        <v>10</v>
      </c>
      <c r="AI27" s="34">
        <v>0.91</v>
      </c>
      <c r="AJ27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80</v>
      </c>
    </row>
    <row r="28" spans="2:36" s="5" customFormat="1" ht="63" x14ac:dyDescent="0.25">
      <c r="B28" s="10" t="s">
        <v>10</v>
      </c>
      <c r="C28" s="11" t="s">
        <v>53</v>
      </c>
      <c r="D28" s="11" t="s">
        <v>54</v>
      </c>
      <c r="E28" s="11" t="s">
        <v>5</v>
      </c>
      <c r="F28" s="12">
        <v>43160</v>
      </c>
      <c r="G28" s="11" t="s">
        <v>85</v>
      </c>
      <c r="H28" s="11" t="s">
        <v>127</v>
      </c>
      <c r="I28" s="23">
        <v>0.75</v>
      </c>
      <c r="J28" s="26">
        <v>0</v>
      </c>
      <c r="K28" s="14">
        <v>1</v>
      </c>
      <c r="L28" s="25">
        <v>10</v>
      </c>
      <c r="M28" s="11">
        <v>8</v>
      </c>
      <c r="N28" s="11">
        <v>10</v>
      </c>
      <c r="O28" s="11">
        <v>0</v>
      </c>
      <c r="P28" s="11">
        <v>10</v>
      </c>
      <c r="Q28" s="14">
        <v>0</v>
      </c>
      <c r="R28" s="25">
        <v>15</v>
      </c>
      <c r="S28" s="14">
        <v>0.55000000000000004</v>
      </c>
      <c r="T28" s="11">
        <v>0</v>
      </c>
      <c r="U28" s="14">
        <v>1</v>
      </c>
      <c r="V28" s="25">
        <v>10</v>
      </c>
      <c r="W28" s="11" t="s">
        <v>123</v>
      </c>
      <c r="X28" s="11" t="s">
        <v>151</v>
      </c>
      <c r="Y28" s="11" t="s">
        <v>104</v>
      </c>
      <c r="Z28" s="11" t="s">
        <v>151</v>
      </c>
      <c r="AA28" s="11" t="s">
        <v>153</v>
      </c>
      <c r="AB28" s="11">
        <v>0</v>
      </c>
      <c r="AC28" s="14">
        <v>0</v>
      </c>
      <c r="AD28" s="25">
        <v>5</v>
      </c>
      <c r="AE28" s="31">
        <f>132978/Table3[[#This Row],[PH Total Participants REMAINING in OR EXITING TO PH]]</f>
        <v>2829.3191489361702</v>
      </c>
      <c r="AF28" s="11">
        <v>10</v>
      </c>
      <c r="AG28" s="33">
        <v>47</v>
      </c>
      <c r="AH28" s="33">
        <v>47</v>
      </c>
      <c r="AI28" s="34">
        <v>1</v>
      </c>
      <c r="AJ28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70</v>
      </c>
    </row>
    <row r="29" spans="2:36" s="5" customFormat="1" ht="110.25" customHeight="1" x14ac:dyDescent="0.25">
      <c r="B29" s="10" t="s">
        <v>131</v>
      </c>
      <c r="C29" s="11" t="s">
        <v>55</v>
      </c>
      <c r="D29" s="11" t="s">
        <v>56</v>
      </c>
      <c r="E29" s="11" t="s">
        <v>5</v>
      </c>
      <c r="F29" s="12">
        <v>43221</v>
      </c>
      <c r="G29" s="11" t="s">
        <v>87</v>
      </c>
      <c r="H29" s="11">
        <v>1857</v>
      </c>
      <c r="I29" s="14">
        <v>0.62</v>
      </c>
      <c r="J29" s="25">
        <v>0</v>
      </c>
      <c r="K29" s="14">
        <v>0.88</v>
      </c>
      <c r="L29" s="25">
        <v>0</v>
      </c>
      <c r="M29" s="11">
        <v>12</v>
      </c>
      <c r="N29" s="11">
        <v>5</v>
      </c>
      <c r="O29" s="11">
        <v>0</v>
      </c>
      <c r="P29" s="11">
        <v>10</v>
      </c>
      <c r="Q29" s="14">
        <v>0</v>
      </c>
      <c r="R29" s="25">
        <v>15</v>
      </c>
      <c r="S29" s="14">
        <v>0.43</v>
      </c>
      <c r="T29" s="11">
        <v>0</v>
      </c>
      <c r="U29" s="14">
        <v>0.5</v>
      </c>
      <c r="V29" s="25">
        <v>0</v>
      </c>
      <c r="W29" s="11" t="s">
        <v>122</v>
      </c>
      <c r="X29" s="11" t="s">
        <v>151</v>
      </c>
      <c r="Y29" s="11" t="s">
        <v>104</v>
      </c>
      <c r="Z29" s="11" t="s">
        <v>151</v>
      </c>
      <c r="AA29" s="11" t="s">
        <v>151</v>
      </c>
      <c r="AB29" s="11">
        <v>10</v>
      </c>
      <c r="AC29" s="14">
        <v>0</v>
      </c>
      <c r="AD29" s="25">
        <v>5</v>
      </c>
      <c r="AE29" s="31">
        <f>353815/Table3[[#This Row],[PH Total Participants REMAINING in OR EXITING TO PH]]</f>
        <v>14742.291666666666</v>
      </c>
      <c r="AF29" s="11">
        <v>10</v>
      </c>
      <c r="AG29" s="33">
        <v>26</v>
      </c>
      <c r="AH29" s="33">
        <v>24</v>
      </c>
      <c r="AI29" s="34">
        <v>0.92</v>
      </c>
      <c r="AJ29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55</v>
      </c>
    </row>
    <row r="30" spans="2:36" s="5" customFormat="1" ht="47.25" x14ac:dyDescent="0.25">
      <c r="B30" s="10" t="s">
        <v>131</v>
      </c>
      <c r="C30" s="11" t="s">
        <v>60</v>
      </c>
      <c r="D30" s="11" t="s">
        <v>61</v>
      </c>
      <c r="E30" s="11" t="s">
        <v>5</v>
      </c>
      <c r="F30" s="12">
        <v>43313</v>
      </c>
      <c r="G30" s="11" t="s">
        <v>120</v>
      </c>
      <c r="H30" s="11">
        <v>1872</v>
      </c>
      <c r="I30" s="14">
        <v>0.63</v>
      </c>
      <c r="J30" s="25">
        <v>0</v>
      </c>
      <c r="K30" s="14">
        <v>1</v>
      </c>
      <c r="L30" s="25">
        <v>10</v>
      </c>
      <c r="M30" s="11">
        <v>14</v>
      </c>
      <c r="N30" s="11">
        <v>10</v>
      </c>
      <c r="O30" s="11" t="s">
        <v>98</v>
      </c>
      <c r="P30" s="11">
        <v>10</v>
      </c>
      <c r="Q30" s="14" t="s">
        <v>98</v>
      </c>
      <c r="R30" s="25">
        <v>15</v>
      </c>
      <c r="S30" s="11" t="s">
        <v>154</v>
      </c>
      <c r="T30" s="11">
        <v>10</v>
      </c>
      <c r="U30" s="14" t="s">
        <v>98</v>
      </c>
      <c r="V30" s="25">
        <v>10</v>
      </c>
      <c r="W30" s="11" t="s">
        <v>122</v>
      </c>
      <c r="X30" s="11" t="s">
        <v>151</v>
      </c>
      <c r="Y30" s="11" t="s">
        <v>104</v>
      </c>
      <c r="Z30" s="11" t="s">
        <v>151</v>
      </c>
      <c r="AA30" s="11" t="s">
        <v>151</v>
      </c>
      <c r="AB30" s="11">
        <v>10</v>
      </c>
      <c r="AC30" s="14">
        <v>0</v>
      </c>
      <c r="AD30" s="25">
        <v>5</v>
      </c>
      <c r="AE30" s="31">
        <f>154651/Table3[[#This Row],[PH Total Participants REMAINING in OR EXITING TO PH]]</f>
        <v>51550.333333333336</v>
      </c>
      <c r="AF30" s="11">
        <v>0</v>
      </c>
      <c r="AG30" s="33">
        <v>3</v>
      </c>
      <c r="AH30" s="33">
        <v>3</v>
      </c>
      <c r="AI30" s="34">
        <v>1</v>
      </c>
      <c r="AJ30" s="13">
        <f>Table3[[#This Row],[score12]]+Table3[[#This Row],[score11]]+Table3[[#This Row],[score10]]+Table3[[#This Row],[score8]]+Table3[[#This Row],[score7]]+Table3[[#This Row],[score6b]]+Table3[[#This Row],[score6a]]+Table3[[#This Row],[score3]]+Table3[[#This Row],[score2]]+Table3[[#This Row],[score1]]</f>
        <v>80</v>
      </c>
    </row>
    <row r="31" spans="2:36" s="5" customFormat="1" ht="47.25" x14ac:dyDescent="0.25">
      <c r="B31" s="35" t="s">
        <v>57</v>
      </c>
      <c r="C31" s="36" t="s">
        <v>58</v>
      </c>
      <c r="D31" s="36" t="s">
        <v>59</v>
      </c>
      <c r="E31" s="36" t="s">
        <v>5</v>
      </c>
      <c r="F31" s="37">
        <v>43374</v>
      </c>
      <c r="G31" s="36" t="s">
        <v>89</v>
      </c>
      <c r="H31" s="36" t="s">
        <v>116</v>
      </c>
      <c r="I31" s="39"/>
      <c r="J31" s="27"/>
      <c r="K31" s="39"/>
      <c r="L31" s="27"/>
      <c r="M31" s="36"/>
      <c r="N31" s="36"/>
      <c r="O31" s="36"/>
      <c r="P31" s="36"/>
      <c r="Q31" s="39"/>
      <c r="R31" s="27"/>
      <c r="S31" s="36" t="s">
        <v>154</v>
      </c>
      <c r="T31" s="36">
        <v>10</v>
      </c>
      <c r="U31" s="39"/>
      <c r="V31" s="27"/>
      <c r="W31" s="36" t="s">
        <v>122</v>
      </c>
      <c r="X31" s="36" t="s">
        <v>151</v>
      </c>
      <c r="Y31" s="36"/>
      <c r="Z31" s="36" t="s">
        <v>151</v>
      </c>
      <c r="AA31" s="36" t="s">
        <v>151</v>
      </c>
      <c r="AB31" s="36"/>
      <c r="AC31" s="39"/>
      <c r="AD31" s="27"/>
      <c r="AE31" s="40"/>
      <c r="AF31" s="36"/>
      <c r="AG31" s="36"/>
      <c r="AH31" s="36"/>
      <c r="AI31" s="39"/>
      <c r="AJ31" s="38"/>
    </row>
    <row r="32" spans="2:36" s="5" customFormat="1" ht="31.5" x14ac:dyDescent="0.25">
      <c r="B32" s="15" t="s">
        <v>130</v>
      </c>
      <c r="C32" s="16" t="s">
        <v>62</v>
      </c>
      <c r="D32" s="16" t="s">
        <v>63</v>
      </c>
      <c r="E32" s="16" t="s">
        <v>5</v>
      </c>
      <c r="F32" s="17" t="s">
        <v>79</v>
      </c>
      <c r="G32" s="16"/>
      <c r="H32" s="16"/>
      <c r="I32" s="19"/>
      <c r="J32" s="27"/>
      <c r="K32" s="19"/>
      <c r="L32" s="27"/>
      <c r="M32" s="16"/>
      <c r="N32" s="16"/>
      <c r="O32" s="16"/>
      <c r="P32" s="16"/>
      <c r="Q32" s="16"/>
      <c r="R32" s="27"/>
      <c r="S32" s="16"/>
      <c r="T32" s="16"/>
      <c r="U32" s="19"/>
      <c r="V32" s="19"/>
      <c r="W32" s="16"/>
      <c r="X32" s="16"/>
      <c r="Y32" s="16"/>
      <c r="Z32" s="16"/>
      <c r="AA32" s="16"/>
      <c r="AB32" s="16"/>
      <c r="AC32" s="16"/>
      <c r="AD32" s="27"/>
      <c r="AE32" s="16"/>
      <c r="AF32" s="16"/>
      <c r="AG32" s="16"/>
      <c r="AH32" s="16"/>
      <c r="AI32" s="16"/>
      <c r="AJ32" s="18"/>
    </row>
    <row r="33" spans="2:36" s="5" customFormat="1" ht="78.75" x14ac:dyDescent="0.25">
      <c r="B33" s="15" t="s">
        <v>134</v>
      </c>
      <c r="C33" s="16" t="s">
        <v>64</v>
      </c>
      <c r="D33" s="16" t="s">
        <v>65</v>
      </c>
      <c r="E33" s="16" t="s">
        <v>5</v>
      </c>
      <c r="F33" s="16" t="s">
        <v>79</v>
      </c>
      <c r="G33" s="16"/>
      <c r="H33" s="16"/>
      <c r="I33" s="16"/>
      <c r="J33" s="27"/>
      <c r="K33" s="16"/>
      <c r="L33" s="27"/>
      <c r="M33" s="16"/>
      <c r="N33" s="16"/>
      <c r="O33" s="16"/>
      <c r="P33" s="16"/>
      <c r="Q33" s="16"/>
      <c r="R33" s="27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8"/>
    </row>
    <row r="34" spans="2:36" s="5" customFormat="1" ht="47.25" x14ac:dyDescent="0.25">
      <c r="B34" s="15" t="s">
        <v>66</v>
      </c>
      <c r="C34" s="16" t="s">
        <v>67</v>
      </c>
      <c r="D34" s="16" t="s">
        <v>68</v>
      </c>
      <c r="E34" s="16" t="s">
        <v>5</v>
      </c>
      <c r="F34" s="16" t="s">
        <v>79</v>
      </c>
      <c r="G34" s="16"/>
      <c r="H34" s="16"/>
      <c r="I34" s="16"/>
      <c r="J34" s="27"/>
      <c r="K34" s="16"/>
      <c r="L34" s="27"/>
      <c r="M34" s="16"/>
      <c r="N34" s="16"/>
      <c r="O34" s="16"/>
      <c r="P34" s="16"/>
      <c r="Q34" s="16"/>
      <c r="R34" s="27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8"/>
    </row>
    <row r="35" spans="2:36" s="5" customFormat="1" ht="78.75" x14ac:dyDescent="0.25">
      <c r="B35" s="15" t="s">
        <v>133</v>
      </c>
      <c r="C35" s="16" t="s">
        <v>69</v>
      </c>
      <c r="D35" s="16" t="s">
        <v>70</v>
      </c>
      <c r="E35" s="16" t="s">
        <v>5</v>
      </c>
      <c r="F35" s="16" t="s">
        <v>79</v>
      </c>
      <c r="G35" s="16"/>
      <c r="H35" s="16"/>
      <c r="I35" s="16"/>
      <c r="J35" s="27"/>
      <c r="K35" s="16"/>
      <c r="L35" s="27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8"/>
    </row>
    <row r="36" spans="2:36" s="5" customFormat="1" ht="78.75" x14ac:dyDescent="0.25">
      <c r="B36" s="15" t="s">
        <v>10</v>
      </c>
      <c r="C36" s="16" t="s">
        <v>71</v>
      </c>
      <c r="D36" s="16" t="s">
        <v>72</v>
      </c>
      <c r="E36" s="16" t="s">
        <v>5</v>
      </c>
      <c r="F36" s="16" t="s">
        <v>79</v>
      </c>
      <c r="G36" s="16"/>
      <c r="H36" s="16"/>
      <c r="I36" s="16"/>
      <c r="J36" s="27"/>
      <c r="K36" s="16"/>
      <c r="L36" s="27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8"/>
    </row>
    <row r="37" spans="2:36" s="5" customFormat="1" ht="78.75" x14ac:dyDescent="0.25">
      <c r="B37" s="15" t="s">
        <v>132</v>
      </c>
      <c r="C37" s="16" t="s">
        <v>73</v>
      </c>
      <c r="D37" s="16" t="s">
        <v>74</v>
      </c>
      <c r="E37" s="16" t="s">
        <v>5</v>
      </c>
      <c r="F37" s="16" t="s">
        <v>79</v>
      </c>
      <c r="G37" s="16"/>
      <c r="H37" s="16"/>
      <c r="I37" s="16"/>
      <c r="J37" s="27"/>
      <c r="K37" s="16"/>
      <c r="L37" s="27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8"/>
    </row>
    <row r="38" spans="2:36" s="5" customFormat="1" ht="32.25" thickBot="1" x14ac:dyDescent="0.3">
      <c r="B38" s="20" t="s">
        <v>75</v>
      </c>
      <c r="C38" s="21" t="s">
        <v>76</v>
      </c>
      <c r="D38" s="21" t="s">
        <v>77</v>
      </c>
      <c r="E38" s="21" t="s">
        <v>5</v>
      </c>
      <c r="F38" s="21" t="s">
        <v>79</v>
      </c>
      <c r="G38" s="21"/>
      <c r="H38" s="21"/>
      <c r="I38" s="21"/>
      <c r="J38" s="28"/>
      <c r="K38" s="21"/>
      <c r="L38" s="28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2"/>
    </row>
  </sheetData>
  <mergeCells count="3">
    <mergeCell ref="B1:AJ1"/>
    <mergeCell ref="B2:G2"/>
    <mergeCell ref="H2:AJ2"/>
  </mergeCells>
  <pageMargins left="0.7" right="0.7" top="0.75" bottom="0.75" header="0.3" footer="0.3"/>
  <pageSetup paperSize="5" scale="31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E6B9B-F473-4B01-BA20-92BC6CB3E449}">
  <sheetPr>
    <pageSetUpPr fitToPage="1"/>
  </sheetPr>
  <dimension ref="A10:A39"/>
  <sheetViews>
    <sheetView workbookViewId="0">
      <selection sqref="A1:H46"/>
    </sheetView>
  </sheetViews>
  <sheetFormatPr defaultRowHeight="15" x14ac:dyDescent="0.25"/>
  <cols>
    <col min="1" max="1" width="5.85546875" bestFit="1" customWidth="1"/>
    <col min="2" max="2" width="28.5703125" customWidth="1"/>
    <col min="3" max="3" width="64.140625" bestFit="1" customWidth="1"/>
    <col min="4" max="4" width="24.7109375" customWidth="1"/>
    <col min="5" max="5" width="14.28515625" customWidth="1"/>
    <col min="6" max="6" width="15.140625" customWidth="1"/>
    <col min="7" max="7" width="16.85546875" customWidth="1"/>
  </cols>
  <sheetData>
    <row r="10" ht="19.5" customHeight="1" x14ac:dyDescent="0.25"/>
    <row r="14" ht="18.75" customHeight="1" x14ac:dyDescent="0.25"/>
    <row r="15" ht="18.75" customHeight="1" x14ac:dyDescent="0.25"/>
    <row r="16" ht="15" customHeight="1" x14ac:dyDescent="0.25"/>
    <row r="17" ht="20.25" customHeight="1" x14ac:dyDescent="0.25"/>
    <row r="22" ht="15.75" customHeight="1" x14ac:dyDescent="0.25"/>
    <row r="23" ht="18.75" customHeight="1" x14ac:dyDescent="0.25"/>
    <row r="24" ht="16.5" customHeight="1" x14ac:dyDescent="0.25"/>
    <row r="25" ht="21" customHeight="1" x14ac:dyDescent="0.25"/>
    <row r="26" ht="20.25" customHeight="1" x14ac:dyDescent="0.25"/>
    <row r="28" ht="21" customHeight="1" x14ac:dyDescent="0.25"/>
    <row r="29" ht="16.5" customHeight="1" x14ac:dyDescent="0.25"/>
    <row r="32" ht="16.5" customHeight="1" x14ac:dyDescent="0.25"/>
    <row r="33" ht="18" customHeight="1" x14ac:dyDescent="0.25"/>
    <row r="34" ht="17.25" customHeight="1" x14ac:dyDescent="0.25"/>
    <row r="35" ht="18.75" customHeight="1" x14ac:dyDescent="0.25"/>
    <row r="36" ht="16.5" customHeight="1" x14ac:dyDescent="0.25"/>
    <row r="37" ht="31.5" customHeight="1" x14ac:dyDescent="0.25"/>
    <row r="38" ht="19.5" customHeight="1" x14ac:dyDescent="0.25"/>
    <row r="39" ht="17.25" customHeight="1" x14ac:dyDescent="0.25"/>
  </sheetData>
  <sortState ref="A4:G44">
    <sortCondition ref="A4"/>
  </sortState>
  <pageMargins left="0.7" right="0.7" top="0.75" bottom="0.7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CC5F5-6621-6049-8322-7E124446CE92}">
  <dimension ref="A1:C21"/>
  <sheetViews>
    <sheetView workbookViewId="0">
      <selection activeCell="D4" sqref="D4"/>
    </sheetView>
  </sheetViews>
  <sheetFormatPr defaultColWidth="11.42578125" defaultRowHeight="15" x14ac:dyDescent="0.25"/>
  <sheetData>
    <row r="1" spans="1:3" ht="220.5" x14ac:dyDescent="0.25">
      <c r="A1" s="1"/>
      <c r="B1" s="3" t="s">
        <v>124</v>
      </c>
      <c r="C1" s="1"/>
    </row>
    <row r="2" spans="1:3" ht="15.75" x14ac:dyDescent="0.25">
      <c r="A2" s="1">
        <v>31</v>
      </c>
      <c r="B2" s="1">
        <v>11</v>
      </c>
      <c r="C2" s="1"/>
    </row>
    <row r="3" spans="1:3" ht="15.75" x14ac:dyDescent="0.25">
      <c r="A3" s="1">
        <v>256</v>
      </c>
      <c r="B3" s="1">
        <v>3</v>
      </c>
      <c r="C3" s="1">
        <v>40</v>
      </c>
    </row>
    <row r="4" spans="1:3" ht="15.75" x14ac:dyDescent="0.25">
      <c r="A4" s="1">
        <v>249</v>
      </c>
      <c r="B4" s="1">
        <v>2</v>
      </c>
      <c r="C4" s="1">
        <v>9</v>
      </c>
    </row>
    <row r="5" spans="1:3" ht="15.75" x14ac:dyDescent="0.25">
      <c r="A5" s="1">
        <v>245</v>
      </c>
      <c r="B5" s="1">
        <v>5</v>
      </c>
      <c r="C5" s="1">
        <v>19</v>
      </c>
    </row>
    <row r="6" spans="1:3" ht="15.75" x14ac:dyDescent="0.25">
      <c r="A6" s="1">
        <v>240</v>
      </c>
      <c r="B6" s="1">
        <v>3</v>
      </c>
      <c r="C6" s="1">
        <v>2</v>
      </c>
    </row>
    <row r="7" spans="1:3" ht="15.75" x14ac:dyDescent="0.25">
      <c r="A7" s="2">
        <f>SUM(A3:A6)/4</f>
        <v>247.5</v>
      </c>
      <c r="B7" s="1">
        <v>5</v>
      </c>
      <c r="C7" s="1">
        <v>9</v>
      </c>
    </row>
    <row r="8" spans="1:3" ht="15.75" x14ac:dyDescent="0.25">
      <c r="A8" s="1"/>
      <c r="C8" s="1">
        <v>4</v>
      </c>
    </row>
    <row r="9" spans="1:3" ht="15.75" x14ac:dyDescent="0.25">
      <c r="A9" s="1"/>
      <c r="C9" s="1">
        <v>15</v>
      </c>
    </row>
    <row r="10" spans="1:3" ht="15.75" x14ac:dyDescent="0.25">
      <c r="A10" s="1"/>
      <c r="C10" s="1">
        <v>7</v>
      </c>
    </row>
    <row r="11" spans="1:3" ht="15.75" x14ac:dyDescent="0.25">
      <c r="A11" s="1"/>
      <c r="C11" s="1">
        <v>41</v>
      </c>
    </row>
    <row r="12" spans="1:3" ht="15.75" x14ac:dyDescent="0.25">
      <c r="A12" s="1"/>
      <c r="B12" s="1"/>
      <c r="C12" s="1">
        <v>71</v>
      </c>
    </row>
    <row r="13" spans="1:3" ht="15.75" x14ac:dyDescent="0.25">
      <c r="A13" s="1"/>
      <c r="B13" s="1"/>
      <c r="C13" s="1">
        <v>9</v>
      </c>
    </row>
    <row r="14" spans="1:3" ht="15.75" x14ac:dyDescent="0.25">
      <c r="A14" s="1"/>
      <c r="B14" s="1"/>
      <c r="C14" s="1">
        <v>4</v>
      </c>
    </row>
    <row r="15" spans="1:3" ht="15.75" x14ac:dyDescent="0.25">
      <c r="A15" s="1"/>
      <c r="B15" s="1"/>
      <c r="C15" s="1">
        <v>11</v>
      </c>
    </row>
    <row r="16" spans="1:3" ht="15.75" x14ac:dyDescent="0.25">
      <c r="A16" s="1"/>
      <c r="B16" s="1"/>
      <c r="C16" s="1">
        <v>3</v>
      </c>
    </row>
    <row r="17" spans="1:3" ht="15.75" x14ac:dyDescent="0.25">
      <c r="A17" s="1"/>
      <c r="B17" s="1"/>
      <c r="C17" s="1">
        <v>2</v>
      </c>
    </row>
    <row r="18" spans="1:3" ht="15.75" x14ac:dyDescent="0.25">
      <c r="A18" s="1"/>
      <c r="B18" s="1"/>
      <c r="C18" s="1">
        <v>5</v>
      </c>
    </row>
    <row r="19" spans="1:3" ht="15.75" x14ac:dyDescent="0.25">
      <c r="A19" s="1"/>
      <c r="B19" s="1"/>
      <c r="C19" s="1">
        <v>3</v>
      </c>
    </row>
    <row r="20" spans="1:3" ht="15.75" x14ac:dyDescent="0.25">
      <c r="A20" s="1"/>
      <c r="B20" s="1"/>
      <c r="C20" s="1">
        <v>5</v>
      </c>
    </row>
    <row r="21" spans="1:3" ht="15.75" x14ac:dyDescent="0.25">
      <c r="A21" s="1"/>
      <c r="B21" s="1"/>
      <c r="C21" s="1">
        <f>SUM(C3:C20)</f>
        <v>259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6808FEDC8F424EAD8B7EF43F207E54" ma:contentTypeVersion="8" ma:contentTypeDescription="Create a new document." ma:contentTypeScope="" ma:versionID="02f8b12bf53dc3dab5faaae51701efcd">
  <xsd:schema xmlns:xsd="http://www.w3.org/2001/XMLSchema" xmlns:xs="http://www.w3.org/2001/XMLSchema" xmlns:p="http://schemas.microsoft.com/office/2006/metadata/properties" xmlns:ns2="edfb1fe6-4e42-4abb-907b-2fb9d3d15581" targetNamespace="http://schemas.microsoft.com/office/2006/metadata/properties" ma:root="true" ma:fieldsID="f45b7dae951b804c0575e167203740b9" ns2:_="">
    <xsd:import namespace="edfb1fe6-4e42-4abb-907b-2fb9d3d15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b1fe6-4e42-4abb-907b-2fb9d3d1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B6BC68-C07D-4A49-A6D3-30472BB50ED0}"/>
</file>

<file path=customXml/itemProps2.xml><?xml version="1.0" encoding="utf-8"?>
<ds:datastoreItem xmlns:ds="http://schemas.openxmlformats.org/officeDocument/2006/customXml" ds:itemID="{3119A51D-A4F1-4367-AE4D-36AF1F75C0EA}"/>
</file>

<file path=customXml/itemProps3.xml><?xml version="1.0" encoding="utf-8"?>
<ds:datastoreItem xmlns:ds="http://schemas.openxmlformats.org/officeDocument/2006/customXml" ds:itemID="{06CF337D-C50D-4B09-A412-701439A212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Renewal Scoring Detail</vt:lpstr>
      <vt:lpstr>-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Bioteau</dc:creator>
  <cp:lastModifiedBy>Elizabeth Bioteau</cp:lastModifiedBy>
  <cp:lastPrinted>2018-08-22T14:35:53Z</cp:lastPrinted>
  <dcterms:created xsi:type="dcterms:W3CDTF">2018-07-02T19:48:15Z</dcterms:created>
  <dcterms:modified xsi:type="dcterms:W3CDTF">2018-08-23T17:41:05Z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0x010100BE6808FEDC8F424EAD8B7EF43F207E54</vt:lpwstr>
  </property>
</Properties>
</file>